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Ramzaiceva</author>
  </authors>
  <commentList>
    <comment ref="E54" authorId="0">
      <text>
        <r>
          <rPr>
            <b/>
            <sz val="8"/>
            <rFont val="Tahoma"/>
            <family val="0"/>
          </rPr>
          <t>Ramzaiceva:</t>
        </r>
        <r>
          <rPr>
            <sz val="8"/>
            <rFont val="Tahoma"/>
            <family val="0"/>
          </rPr>
          <t xml:space="preserve">
правильная сумма
</t>
        </r>
      </text>
    </comment>
    <comment ref="E55" authorId="0">
      <text>
        <r>
          <rPr>
            <b/>
            <sz val="8"/>
            <rFont val="Tahoma"/>
            <family val="0"/>
          </rPr>
          <t>Ramzaiceva:</t>
        </r>
        <r>
          <rPr>
            <sz val="8"/>
            <rFont val="Tahoma"/>
            <family val="0"/>
          </rPr>
          <t xml:space="preserve">
правильная сумма
</t>
        </r>
      </text>
    </comment>
  </commentList>
</comments>
</file>

<file path=xl/sharedStrings.xml><?xml version="1.0" encoding="utf-8"?>
<sst xmlns="http://schemas.openxmlformats.org/spreadsheetml/2006/main" count="197" uniqueCount="146">
  <si>
    <t>Наименование</t>
  </si>
  <si>
    <t>ПРАЙС - ЛИСТ НА СЕЛЬХОЗМАШИНЫ</t>
  </si>
  <si>
    <t>№ п/п</t>
  </si>
  <si>
    <t>Марка</t>
  </si>
  <si>
    <t>Характеристики</t>
  </si>
  <si>
    <t>Цена                   без НДС</t>
  </si>
  <si>
    <t>НДС                       18%</t>
  </si>
  <si>
    <t xml:space="preserve">Цена                         с НДС </t>
  </si>
  <si>
    <t>Агрегаты универсальные плоскорежущие</t>
  </si>
  <si>
    <t>АУП 18.05-01</t>
  </si>
  <si>
    <t>Агрегат универсальный посевной плоскорежущий</t>
  </si>
  <si>
    <r>
      <t xml:space="preserve">Объем зернотуковых ящиков1,2 </t>
    </r>
    <r>
      <rPr>
        <sz val="11"/>
        <rFont val="Arial"/>
        <family val="2"/>
      </rPr>
      <t>м</t>
    </r>
    <r>
      <rPr>
        <b/>
        <sz val="11"/>
        <rFont val="Arial"/>
        <family val="2"/>
      </rPr>
      <t>³</t>
    </r>
    <r>
      <rPr>
        <sz val="11"/>
        <rFont val="Arial Cyr"/>
        <family val="2"/>
      </rPr>
      <t xml:space="preserve">;
Ширина захвата 4,5 м;
Производительность 4,0 га/ч;
Привод от катков        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</si>
  <si>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*АУП 18.05-01-1</t>
  </si>
  <si>
    <t>АУП 18.05-02</t>
  </si>
  <si>
    <r>
      <t xml:space="preserve">Объем зернотуковых ящиков1,2 </t>
    </r>
    <r>
      <rPr>
        <sz val="11"/>
        <rFont val="Arial"/>
        <family val="2"/>
      </rPr>
      <t>м</t>
    </r>
    <r>
      <rPr>
        <b/>
        <sz val="11"/>
        <rFont val="Arial"/>
        <family val="2"/>
      </rPr>
      <t>³</t>
    </r>
    <r>
      <rPr>
        <sz val="11"/>
        <rFont val="Arial Cyr"/>
        <family val="2"/>
      </rPr>
      <t xml:space="preserve">;
Ширина захвата 4,5 м;
Производительность 4,0 га/ч
Привод от отдельного колеса              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</si>
  <si>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*АУП 18.05-02-1</t>
  </si>
  <si>
    <t>АУП 18.07-00</t>
  </si>
  <si>
    <r>
      <t xml:space="preserve">Объем зернотуковых ящиков1,4 </t>
    </r>
    <r>
      <rPr>
        <sz val="10"/>
        <rFont val="Arial"/>
        <family val="2"/>
      </rPr>
      <t>м</t>
    </r>
    <r>
      <rPr>
        <b/>
        <sz val="10"/>
        <rFont val="Arial"/>
        <family val="2"/>
      </rPr>
      <t>³</t>
    </r>
    <r>
      <rPr>
        <sz val="10"/>
        <rFont val="Arial Cyr"/>
        <family val="2"/>
      </rPr>
      <t xml:space="preserve">;
Ширина захвата 4,5 м;
Производительность 4,4 га/ч
Привод от катков                                                                                    </t>
    </r>
    <r>
      <rPr>
        <b/>
        <sz val="10"/>
        <rFont val="Arial Cyr"/>
        <family val="0"/>
      </rPr>
      <t xml:space="preserve"> * Лапы сошника с наплавкой сплавом "РЭЛИТ"</t>
    </r>
  </si>
  <si>
    <t>*АУП 18.07-00-1</t>
  </si>
  <si>
    <t>АУП 18.07-01</t>
  </si>
  <si>
    <r>
      <t xml:space="preserve">Объем зернотуковых ящиков1,4 </t>
    </r>
    <r>
      <rPr>
        <sz val="11"/>
        <rFont val="Arial"/>
        <family val="2"/>
      </rPr>
      <t>м</t>
    </r>
    <r>
      <rPr>
        <b/>
        <sz val="11"/>
        <rFont val="Arial"/>
        <family val="2"/>
      </rPr>
      <t>³</t>
    </r>
    <r>
      <rPr>
        <sz val="11"/>
        <rFont val="Arial Cyr"/>
        <family val="2"/>
      </rPr>
      <t xml:space="preserve">;
Ширина захвата 4,5 м;
Производительность 4,4 га/ч
Привод от отдельного колеса                                                              </t>
    </r>
    <r>
      <rPr>
        <b/>
        <sz val="11"/>
        <rFont val="Arial Cyr"/>
        <family val="0"/>
      </rPr>
      <t>* Лапы сошника с наплавкой сплавом "РЭЛИТ"</t>
    </r>
  </si>
  <si>
    <t>*АУП 18.07-01-1</t>
  </si>
  <si>
    <t>АУП 18.07-02</t>
  </si>
  <si>
    <r>
      <t xml:space="preserve">Объем зернотуковых ящиков1,4 м³;
Ширина захвата 4,5 м;
Производительность 4,4 га/ч
Привод от катков,                                                                                                            Передние опорные колеса с шиной 13,0/75-16                                          </t>
    </r>
    <r>
      <rPr>
        <b/>
        <sz val="11"/>
        <rFont val="Arial Cyr"/>
        <family val="0"/>
      </rPr>
      <t xml:space="preserve">* Лапы сошника с наплавкой сплавом "РЭЛИТ"   </t>
    </r>
    <r>
      <rPr>
        <sz val="11"/>
        <rFont val="Arial Cyr"/>
        <family val="2"/>
      </rPr>
      <t xml:space="preserve">                                                           </t>
    </r>
  </si>
  <si>
    <r>
      <t>*</t>
    </r>
    <r>
      <rPr>
        <b/>
        <sz val="12"/>
        <rFont val="Arial Cyr"/>
        <family val="0"/>
      </rPr>
      <t>АУП 18.07-02-1</t>
    </r>
  </si>
  <si>
    <t>АУП 18.07-03</t>
  </si>
  <si>
    <r>
      <t xml:space="preserve">Объем зернотуковых ящиков1,4 </t>
    </r>
    <r>
      <rPr>
        <sz val="10"/>
        <rFont val="Arial"/>
        <family val="2"/>
      </rPr>
      <t>м³</t>
    </r>
    <r>
      <rPr>
        <sz val="10"/>
        <rFont val="Arial Cyr"/>
        <family val="2"/>
      </rPr>
      <t xml:space="preserve">;
Ширина захвата 4,5 м;
Производительность 4,4 га/ч
Привод от колеса,                                                                                                 Передние опорные колеса с шиной 13,0/75-16                          </t>
    </r>
    <r>
      <rPr>
        <b/>
        <sz val="10"/>
        <rFont val="Arial Cyr"/>
        <family val="0"/>
      </rPr>
      <t xml:space="preserve">       *Лапы сошника с наплавкой сплавом "РЭЛИТ"                                                                                                         </t>
    </r>
  </si>
  <si>
    <r>
      <t>*</t>
    </r>
    <r>
      <rPr>
        <b/>
        <sz val="12"/>
        <rFont val="Arial Cyr"/>
        <family val="0"/>
      </rPr>
      <t>АУП 18.07-03-1</t>
    </r>
  </si>
  <si>
    <t>Сцепки</t>
  </si>
  <si>
    <t>АУП 18.07.30-01</t>
  </si>
  <si>
    <t>Сцепка</t>
  </si>
  <si>
    <t>Крылья маркеров отсутствуют                                                                            Кол-во присоединяемых орудий: 
АУП 18 — 2 шт.;
ОПО 4,25 — 2 шт.</t>
  </si>
  <si>
    <t>ОПО 17.30</t>
  </si>
  <si>
    <t xml:space="preserve">Сцепка </t>
  </si>
  <si>
    <t xml:space="preserve">Кол-во присоединяемых орудий                                                           АУП 18 - 3 шт
ОПО 4,25 — 3 шт. 
</t>
  </si>
  <si>
    <t>АУП 18.07.30</t>
  </si>
  <si>
    <t xml:space="preserve">Кол-во присоединяемых орудий: 
АУП 18 — 2 шт.;
ОПО 4,25 — 2 шт.                                                       </t>
  </si>
  <si>
    <t>Орудия почвообрабатывающие</t>
  </si>
  <si>
    <t xml:space="preserve">ОПО 4,25-01                              </t>
  </si>
  <si>
    <t>Орудие почвообрабатывающее</t>
  </si>
  <si>
    <r>
      <t xml:space="preserve">Ширина захвата 4,25 м;
Производительность 2,4 га/ч.
Борона дисковая — отсутствует;
Комплект щелеобразователей — отсутствует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</si>
  <si>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r>
      <t>*</t>
    </r>
    <r>
      <rPr>
        <b/>
        <sz val="12"/>
        <rFont val="Arial Cyr"/>
        <family val="0"/>
      </rPr>
      <t xml:space="preserve">ОПО-4,25-01-1                                      </t>
    </r>
  </si>
  <si>
    <t xml:space="preserve">ОПО-4,25-02                                              </t>
  </si>
  <si>
    <r>
      <t xml:space="preserve">Ширина захвата 4,25 м;
Производительность 2,4 га/ч.
Борона дисковая — отсутствует;
Комплект щелеобразователей — 9 шт.                                                                           </t>
    </r>
    <r>
      <rPr>
        <b/>
        <sz val="10"/>
        <rFont val="Arial Cyr"/>
        <family val="0"/>
      </rPr>
      <t xml:space="preserve"> * Лапы сошника с наплавкой сплавом "РЭЛИТ"</t>
    </r>
  </si>
  <si>
    <t xml:space="preserve">*ОПО-4,25-02-1                                  </t>
  </si>
  <si>
    <t>ОПО- 4,25-03</t>
  </si>
  <si>
    <r>
      <t xml:space="preserve">Ширина захвата 4,25 м;
Производительность 2,4 га/ч.
Борона дисковая — 4 шт;
комплект щелеобразователей — отсутствует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</si>
  <si>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*ОПО- 4,25-03-1</t>
  </si>
  <si>
    <t xml:space="preserve">ОПО-8,5-01                                              </t>
  </si>
  <si>
    <r>
      <t xml:space="preserve">Ширина захвата 8,5 м;
Производительность 5,6 га/ч.
Борона дисковая — отсутствует;
Комплект щелеобразователей — отсутствует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</si>
  <si>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 xml:space="preserve">*ОПО-8,5-01-1                                 </t>
  </si>
  <si>
    <t xml:space="preserve">ОПО-8,5-02                               </t>
  </si>
  <si>
    <r>
      <t xml:space="preserve">Ширина захвата 8,5 м;
Производительность 5,6 га/ч.
Борона дисковая — отсутствует;
комплект щелеобразователей — 18 шт.       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</si>
  <si>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 xml:space="preserve">*ОПО-8,5-02-1                                  </t>
  </si>
  <si>
    <t>ОПО- 8,5-03</t>
  </si>
  <si>
    <r>
      <t xml:space="preserve">Ширина захвата 8,5 м;
Производительность 5,6 га/ч.
Борона дисковая — 8 шт;
Комплект щелеобразователей — отсутствует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</si>
  <si>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*ОПО- 8,5-03-1</t>
  </si>
  <si>
    <t>Подборщик - полуприцеп</t>
  </si>
  <si>
    <t>ТПФ- 45-01</t>
  </si>
  <si>
    <t>Производительность на подборе, :                                                       сена ― 3,0 т/ч;
соломы ― 1,8 т/ч.
Грузоподъёмность 4 т;  Вместимость 45м³.</t>
  </si>
  <si>
    <t>Роторный измельчитель</t>
  </si>
  <si>
    <t>РИС - 2</t>
  </si>
  <si>
    <t>Роторный измельчитель соломы</t>
  </si>
  <si>
    <t>Ширина захвата 2м;
Производительность 4,0 га/ч</t>
  </si>
  <si>
    <t>Комплексы</t>
  </si>
  <si>
    <t>ПК-2-А</t>
  </si>
  <si>
    <t xml:space="preserve">Комплекс посевной 2-х агрегатный </t>
  </si>
  <si>
    <t xml:space="preserve">Состав:
АУП 18-05-02 агрегат универсальный посевной -2 шт.;
АУП 18-07.30-01 сцепка  - 1 шт                                               АУП 18-05.30.500 Крыло маркера левого — 1 шт;
АУП 18-05.30.600 Крыло маркера правого — 1 шт.                                                </t>
  </si>
  <si>
    <t>*ПК-2-АМ</t>
  </si>
  <si>
    <r>
      <t xml:space="preserve">Состав:
</t>
    </r>
    <r>
      <rPr>
        <b/>
        <sz val="12"/>
        <rFont val="Arial Cyr"/>
        <family val="2"/>
      </rPr>
      <t>*АУП 18-05-02-1 агрегат универсальный посевной-2 шт.;</t>
    </r>
    <r>
      <rPr>
        <sz val="12"/>
        <rFont val="Arial Cyr"/>
        <family val="2"/>
      </rPr>
      <t xml:space="preserve">
АУП 18-07.30-01 сцепка  - 1 шт                                           </t>
    </r>
    <r>
      <rPr>
        <b/>
        <sz val="12"/>
        <rFont val="Arial Cyr"/>
        <family val="2"/>
      </rPr>
      <t xml:space="preserve">    </t>
    </r>
    <r>
      <rPr>
        <sz val="12"/>
        <rFont val="Arial Cyr"/>
        <family val="2"/>
      </rPr>
      <t xml:space="preserve">    АУП 18-05.30.500 Крыло маркера левого — 1 шт;
АУП 18-05.30.600 Крыло маркера правого — 1 шт.                                                             </t>
    </r>
    <r>
      <rPr>
        <b/>
        <sz val="12"/>
        <rFont val="Arial Cyr"/>
        <family val="2"/>
      </rPr>
      <t xml:space="preserve">*Лапы сошника с наплавкой сплавом "РЭЛИТ" </t>
    </r>
    <r>
      <rPr>
        <sz val="12"/>
        <rFont val="Arial Cyr"/>
        <family val="2"/>
      </rPr>
      <t xml:space="preserve">                                                                               </t>
    </r>
  </si>
  <si>
    <t>ПК-2-Б</t>
  </si>
  <si>
    <t xml:space="preserve">Состав:
АУП 18-07-00 агрегат универсальный посевной -2 шт.;
АУП 18-07.30-01 сцепка  - 1 шт                                                   </t>
  </si>
  <si>
    <t>*ПК-2-БМ</t>
  </si>
  <si>
    <r>
      <t xml:space="preserve">Состав:
</t>
    </r>
    <r>
      <rPr>
        <b/>
        <sz val="11"/>
        <rFont val="Arial Cyr"/>
        <family val="2"/>
      </rPr>
      <t>*АУП 18-07-00-1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</si>
  <si>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ПК-2-В</t>
  </si>
  <si>
    <t xml:space="preserve">Состав:
АУП 18-07-01 агрегат универсальный посевной -2 шт.;
АУП 18-07.30-01 сцепка  - 1 шт                                                    </t>
  </si>
  <si>
    <t>*ПК-2-ВМ</t>
  </si>
  <si>
    <r>
      <t xml:space="preserve">Состав:
</t>
    </r>
    <r>
      <rPr>
        <b/>
        <sz val="11"/>
        <rFont val="Arial Cyr"/>
        <family val="2"/>
      </rPr>
      <t>*АУП 18-07-01-1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</si>
  <si>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ПК-2Г</t>
  </si>
  <si>
    <t>Комплекс посевной 2-х агрегатный</t>
  </si>
  <si>
    <t>Состав:
АУП 18-05-01 агрегат универсальный посевной - 2 шт.;
АУП 18-07.30-01 сцепка - 1 шт 
Крыло маркера левого — 1 шт;
Крыло маркера правого — 1 шт.</t>
  </si>
  <si>
    <t>*ПК-2ГМ</t>
  </si>
  <si>
    <r>
      <t xml:space="preserve">Состав:
</t>
    </r>
    <r>
      <rPr>
        <b/>
        <sz val="11"/>
        <rFont val="Arial Cyr"/>
        <family val="2"/>
      </rPr>
      <t>*АУП 18-05-01-1 агрегат универсальный посевной-2 шт.;</t>
    </r>
    <r>
      <rPr>
        <sz val="11"/>
        <rFont val="Arial Cyr"/>
        <family val="2"/>
      </rPr>
      <t xml:space="preserve">
АУП 18-07.30-01 сцепка - 1 шт 
Крыло маркера левого — 1 шт;
Крыло маркера правого — 1 шт.                                             </t>
    </r>
    <r>
      <rPr>
        <b/>
        <sz val="11"/>
        <rFont val="Arial Cyr"/>
        <family val="2"/>
      </rPr>
      <t>*Лапы сошника с наплавкой сплавом "РЭЛИТ"</t>
    </r>
  </si>
  <si>
    <t>ПК-2-Д</t>
  </si>
  <si>
    <t xml:space="preserve">Состав:
АУП 18-07-00 агрегат универсальный посевной -2 шт.;
АУП 18-07.30-01 сцепка  - 1 шт                                                           АУП 18-07.30.500 Крыло маркера левого — 1 шт;
АУП 18-07.30.600 Крыло маркера правого — 1 шт.                                                                                               </t>
  </si>
  <si>
    <t>*ПК-2-ДМ</t>
  </si>
  <si>
    <r>
      <t xml:space="preserve">Состав:
</t>
    </r>
    <r>
      <rPr>
        <b/>
        <sz val="11"/>
        <rFont val="Arial Cyr"/>
        <family val="2"/>
      </rPr>
      <t>*АУП 18-07-00-1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                    АУП 18-07.30.500 Крыло маркера левого — 1 шт;
АУП 18-07.30.600 Крыло маркера правого — 1 шт.                                            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</si>
  <si>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ПК-2-Е</t>
  </si>
  <si>
    <t xml:space="preserve">Состав:
АУП 18-07-01 агрегат универсальный посевной -2 шт.;
АУП 18-07.30-01 сцепка  - 1 шт                                                         АУП 18-07.30.500 Крыло маркера левого — 1 шт;
АУП 18-07.30.600 Крыло маркера правого — 1 шт.                                                               </t>
  </si>
  <si>
    <t>*ПК-2-ЕМ</t>
  </si>
  <si>
    <r>
      <t xml:space="preserve">Состав:
</t>
    </r>
    <r>
      <rPr>
        <b/>
        <sz val="11"/>
        <rFont val="Arial Cyr"/>
        <family val="2"/>
      </rPr>
      <t>*АУП 18-07-01-1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             АУП 18-07.30.500 Крыло маркера левого — 1 шт;
АУП 18-07.30.600 Крыло маркера правого — 1 шт.              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</si>
  <si>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ПК-3</t>
  </si>
  <si>
    <t xml:space="preserve">Комплекс посевной 3-х агрегатный </t>
  </si>
  <si>
    <t xml:space="preserve">Состав:
АУП 18-05-01агрегат универсальный посевной -3 шт.;
ОПО 17.30 сцепка 3-х агрегатная - 1 шт                                                  </t>
  </si>
  <si>
    <t>*ПК-3М</t>
  </si>
  <si>
    <r>
      <t xml:space="preserve">Состав:
</t>
    </r>
    <r>
      <rPr>
        <b/>
        <sz val="11"/>
        <rFont val="Arial Cyr"/>
        <family val="2"/>
      </rPr>
      <t>*АУП 18-05-01-1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</t>
    </r>
    <r>
      <rPr>
        <b/>
        <sz val="11"/>
        <rFont val="Arial Cyr"/>
        <family val="2"/>
      </rPr>
      <t xml:space="preserve">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 </t>
    </r>
  </si>
  <si>
    <t>ПК-3-А</t>
  </si>
  <si>
    <t xml:space="preserve">Состав:
АУП 18-05-02агрегат универсальный посевной - 3 шт.;
ОПО 17.30 сцепка 3-х агрегатная - 1 шт                                                  </t>
  </si>
  <si>
    <t>*ПК-3-АМ</t>
  </si>
  <si>
    <r>
      <t xml:space="preserve">Состав:
</t>
    </r>
    <r>
      <rPr>
        <b/>
        <sz val="11"/>
        <rFont val="Arial Cyr"/>
        <family val="2"/>
      </rPr>
      <t>*АУП 18-05-02-1 агрегат универсальный посевной-3 шт.;</t>
    </r>
    <r>
      <rPr>
        <sz val="11"/>
        <rFont val="Arial Cyr"/>
        <family val="2"/>
      </rPr>
      <t xml:space="preserve">
ОПО 17.30 сцепка 3-х агрегатная - 1 шт                                                                    </t>
    </r>
    <r>
      <rPr>
        <b/>
        <sz val="11"/>
        <rFont val="Arial Cyr"/>
        <family val="2"/>
      </rPr>
      <t xml:space="preserve">*Лапы сошника с наплавкой сплавом "РЭЛИТ"   </t>
    </r>
    <r>
      <rPr>
        <sz val="11"/>
        <rFont val="Arial Cyr"/>
        <family val="2"/>
      </rPr>
      <t xml:space="preserve">                                           </t>
    </r>
  </si>
  <si>
    <t>ПК-3-Б</t>
  </si>
  <si>
    <t xml:space="preserve">Состав:
АУП 18-07-00 агрегат универсальный посевной -3 шт.;
ОПО 17.30 сцепка 3-х агрегатная - 1 шт                                                   </t>
  </si>
  <si>
    <t>*ПК-3-БМ</t>
  </si>
  <si>
    <r>
      <t xml:space="preserve">Состав:
</t>
    </r>
    <r>
      <rPr>
        <b/>
        <sz val="11"/>
        <rFont val="Arial Cyr"/>
        <family val="2"/>
      </rPr>
      <t>*АУП 18-07-00-1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</si>
  <si>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ПК-3-В</t>
  </si>
  <si>
    <t xml:space="preserve">Состав:
АУП 18-07-01 агрегат универсальный посевной -3 шт.;
ОПО 17.30 сцепка 3-х агрегатная - 1 шт                                                   </t>
  </si>
  <si>
    <t>*ПК-3-ВМ</t>
  </si>
  <si>
    <r>
      <t xml:space="preserve">Состав:
</t>
    </r>
    <r>
      <rPr>
        <b/>
        <sz val="11"/>
        <rFont val="Arial Cyr"/>
        <family val="2"/>
      </rPr>
      <t>*АУП 18-07-01-1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</si>
  <si>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ПК-3-Г</t>
  </si>
  <si>
    <t xml:space="preserve">Состав:
АУП 18-07-02 агрегат универсальный посевной -3 шт.;
ОПО 17.30 сцепка 3-х агрегатная - 1 шт                                                   </t>
  </si>
  <si>
    <r>
      <t>*</t>
    </r>
    <r>
      <rPr>
        <b/>
        <sz val="12"/>
        <rFont val="Arial Cyr"/>
        <family val="0"/>
      </rPr>
      <t>ПК-3-ГМ</t>
    </r>
  </si>
  <si>
    <r>
      <t xml:space="preserve">Состав:
</t>
    </r>
    <r>
      <rPr>
        <b/>
        <sz val="10"/>
        <rFont val="Arial Cyr"/>
        <family val="0"/>
      </rPr>
      <t>АУП 18-07-02-1 агрегат универсальный посевной</t>
    </r>
    <r>
      <rPr>
        <sz val="10"/>
        <rFont val="Arial Cyr"/>
        <family val="2"/>
      </rPr>
      <t>-</t>
    </r>
    <r>
      <rPr>
        <b/>
        <sz val="10"/>
        <rFont val="Arial Cyr"/>
        <family val="0"/>
      </rPr>
      <t>3шт.;</t>
    </r>
    <r>
      <rPr>
        <sz val="10"/>
        <rFont val="Arial Cyr"/>
        <family val="2"/>
      </rPr>
      <t xml:space="preserve">
ОПО 17.30 сцепка 3-х агрегатная - 1 шт                                                        </t>
    </r>
    <r>
      <rPr>
        <b/>
        <sz val="10"/>
        <rFont val="Arial Cyr"/>
        <family val="0"/>
      </rPr>
      <t xml:space="preserve">*Лапы сошника с наплавкой сплавом "РЭЛИТ"  </t>
    </r>
    <r>
      <rPr>
        <sz val="10"/>
        <rFont val="Arial Cyr"/>
        <family val="2"/>
      </rPr>
      <t xml:space="preserve">                                                                                                                                                      </t>
    </r>
  </si>
  <si>
    <t>ПК-3-Д</t>
  </si>
  <si>
    <r>
      <t xml:space="preserve">Состав:
АУП 18-07-03 агрегат универсальный посевной -3 шт.;
ОПО 17.30 сцепка 3-х агрегатная - 1 шт                </t>
    </r>
    <r>
      <rPr>
        <sz val="10"/>
        <rFont val="Arial Cyr"/>
        <family val="2"/>
      </rPr>
      <t xml:space="preserve">                                                                                                                                                     </t>
    </r>
  </si>
  <si>
    <r>
      <t>*</t>
    </r>
    <r>
      <rPr>
        <b/>
        <sz val="12"/>
        <rFont val="Arial Cyr"/>
        <family val="0"/>
      </rPr>
      <t>ПК-3-ДМ</t>
    </r>
  </si>
  <si>
    <r>
      <t xml:space="preserve">Состав:
</t>
    </r>
    <r>
      <rPr>
        <b/>
        <sz val="10"/>
        <rFont val="Arial Cyr"/>
        <family val="0"/>
      </rPr>
      <t>АУП 18-07-03-1 агрегат универсальный посевной-3шт.;</t>
    </r>
    <r>
      <rPr>
        <sz val="10"/>
        <rFont val="Arial Cyr"/>
        <family val="2"/>
      </rPr>
      <t xml:space="preserve">
ОПО 17.30 сцепка 3-х агрегатная - 1 шт                                            </t>
    </r>
    <r>
      <rPr>
        <b/>
        <sz val="10"/>
        <rFont val="Arial Cyr"/>
        <family val="0"/>
      </rPr>
      <t xml:space="preserve">*Лапы сошника с наплавкой сплавом "РЭЛИТ"  </t>
    </r>
    <r>
      <rPr>
        <sz val="10"/>
        <rFont val="Arial Cyr"/>
        <family val="2"/>
      </rPr>
      <t xml:space="preserve">                                                                                                                                                      </t>
    </r>
  </si>
  <si>
    <t>ПК-3СКС</t>
  </si>
  <si>
    <t>Комплекс посевной 3-х агрегатный с СКС-18</t>
  </si>
  <si>
    <t>Состав:
АУП 18-05-01агрегат универсальный посевной -3 шт.;
ОПО 17.30 сцепка 3-х агрегатная - 1 шт                                                   СКС-18- комплект системы контроля сева - 3 шт</t>
  </si>
  <si>
    <t>*ПК-3СКСМ</t>
  </si>
  <si>
    <r>
      <t xml:space="preserve">Состав:
</t>
    </r>
    <r>
      <rPr>
        <b/>
        <sz val="11"/>
        <rFont val="Arial Cyr"/>
        <family val="2"/>
      </rPr>
      <t>*АУП 18-05-01-1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                   СКС-18- комплект системы контроля сева - 3 шт                                                </t>
    </r>
    <r>
      <rPr>
        <b/>
        <sz val="11"/>
        <rFont val="Arial Cyr"/>
        <family val="2"/>
      </rPr>
      <t xml:space="preserve">*Лапы сошника с наплавкой сплавом "РЭЛИТ"  </t>
    </r>
  </si>
  <si>
    <t>ПОК-2Г</t>
  </si>
  <si>
    <t>Комплекс почвообрабатывающий 2-х агрегатный</t>
  </si>
  <si>
    <t xml:space="preserve">Состав:
ОПО 4,25-03 орудие почвообрабатывающее-2 шт.;
АУП 18.07.30-01сцепка - 1 шт                       </t>
  </si>
  <si>
    <t>*ПОК-2ГМ</t>
  </si>
  <si>
    <r>
      <t xml:space="preserve">Состав:
</t>
    </r>
    <r>
      <rPr>
        <b/>
        <sz val="11"/>
        <rFont val="Arial Cyr"/>
        <family val="2"/>
      </rPr>
      <t>*ОПО 4,25-03-1 орудие почвообрабатывающее-2 шт.;</t>
    </r>
    <r>
      <rPr>
        <sz val="11"/>
        <rFont val="Arial Cyr"/>
        <family val="2"/>
      </rPr>
      <t xml:space="preserve">
АУП 18.07.30-01сцепка - 1 шт                                   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</t>
    </r>
  </si>
  <si>
    <t>ПОК-3</t>
  </si>
  <si>
    <t>Комплекс почвообрабатывающий 3-х агрегатный</t>
  </si>
  <si>
    <t xml:space="preserve">Состав:
ОПО 4,25-03 орудие почвообрабатывающее-3 шт.;
ОПО 17.30 сцепка 3-х агрегатная - 1 шт                       </t>
  </si>
  <si>
    <t>*ПОК-3М</t>
  </si>
  <si>
    <r>
      <t xml:space="preserve">Состав:
</t>
    </r>
    <r>
      <rPr>
        <b/>
        <sz val="11"/>
        <rFont val="Arial Cyr"/>
        <family val="2"/>
      </rPr>
      <t>*ОПО 4,25-03-1 орудие почвообрабатывающее-3 шт.;</t>
    </r>
    <r>
      <rPr>
        <sz val="11"/>
        <rFont val="Arial Cyr"/>
        <family val="2"/>
      </rPr>
      <t xml:space="preserve">
ОПО 17.30 сцепка 3-х агрегатная - 1 шт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</t>
    </r>
    <r>
      <rPr>
        <sz val="11"/>
        <rFont val="Arial Cyr"/>
        <family val="2"/>
      </rPr>
      <t xml:space="preserve">                 </t>
    </r>
  </si>
  <si>
    <t>ОПО-4,25 -03 Щ</t>
  </si>
  <si>
    <t>Комплекс почвообрабатывающий с щелеобразователями</t>
  </si>
  <si>
    <t xml:space="preserve">Состав:
ОПО 4,25-03 орудие почвообрабатывающее-3 шт.;
ОПО 33-01.08.000-03 щелеобразователь - 27 шт                                                         ОПО 17.30 сцепка 3-х агрегатная-1 шт                </t>
  </si>
  <si>
    <t>*ОПО-4,25 -03 ЩМ</t>
  </si>
  <si>
    <r>
      <t xml:space="preserve">Состав:
</t>
    </r>
    <r>
      <rPr>
        <b/>
        <sz val="11"/>
        <rFont val="Arial Cyr"/>
        <family val="2"/>
      </rPr>
      <t>*ОПО 4,25-03-1 орудие почвообрабатывающее-3 шт.;</t>
    </r>
    <r>
      <rPr>
        <sz val="11"/>
        <rFont val="Arial Cyr"/>
        <family val="2"/>
      </rPr>
      <t xml:space="preserve">
ОПО 33-01.08.000-03 щелеобразователь - 27 шт                                                                               ОПО 17.30 сцепка 3-х агрегатная 1 шт                                             </t>
    </r>
    <r>
      <rPr>
        <b/>
        <sz val="11"/>
        <rFont val="Arial Cyr"/>
        <family val="0"/>
      </rPr>
      <t xml:space="preserve">*Лапы сошника с наплавкой сплавом "РЭЛИТ"  </t>
    </r>
    <r>
      <rPr>
        <sz val="11"/>
        <rFont val="Arial Cyr"/>
        <family val="2"/>
      </rPr>
      <t xml:space="preserve">                                      </t>
    </r>
  </si>
  <si>
    <t>ОПО-8,5Щ</t>
  </si>
  <si>
    <t xml:space="preserve">Состав:
ОПО 8,5-03 орудие почвообрабатывающее-1 шт.;
ОПО 33-01.08.000-03 щелеобразователь - 18 шт                       </t>
  </si>
  <si>
    <t>*ОПО-8,5ЩМ</t>
  </si>
  <si>
    <r>
      <t xml:space="preserve">Состав:
</t>
    </r>
    <r>
      <rPr>
        <b/>
        <sz val="11"/>
        <rFont val="Arial Cyr"/>
        <family val="2"/>
      </rPr>
      <t>*ОПО 8,5-03-1 орудие почвообрабатывающее-1 шт.;</t>
    </r>
    <r>
      <rPr>
        <sz val="11"/>
        <rFont val="Arial Cyr"/>
        <family val="2"/>
      </rPr>
      <t xml:space="preserve">
ОПО 33-01.08.000-03 щелеобразователь - 18 шт                                                </t>
    </r>
    <r>
      <rPr>
        <b/>
        <sz val="11"/>
        <rFont val="Arial Cyr"/>
        <family val="2"/>
      </rPr>
      <t xml:space="preserve">* Лапы сошника с наплавкой сплавом "РЭЛИТ"    </t>
    </r>
    <r>
      <rPr>
        <sz val="11"/>
        <rFont val="Arial Cyr"/>
        <family val="2"/>
      </rPr>
      <t xml:space="preserve">               </t>
    </r>
  </si>
  <si>
    <t>www.selmas.ru</t>
  </si>
  <si>
    <t>E-mail: selmah@yandex.ru</t>
  </si>
  <si>
    <t xml:space="preserve">              срок действия с 01.01.2013 г.</t>
  </si>
  <si>
    <t>ООО "АгроСфера"</t>
  </si>
  <si>
    <t>446022, Самарская область,Сызранский район,п.Новая Крымза</t>
  </si>
  <si>
    <t>(8464) 37-46-11,37-03-03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</si>
</sst>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30"/>
      <name val="Arial Cyr"/>
      <family val="2"/>
    </font>
    <font>
      <sz val="14"/>
      <name val="Arial"/>
      <family val="2"/>
    </font>
    <font>
      <u val="single"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dashDotDot"/>
    </border>
    <border>
      <left style="thin">
        <color indexed="8"/>
      </left>
      <right style="thin">
        <color indexed="8"/>
      </right>
      <top style="medium"/>
      <bottom style="dashDotDot"/>
    </border>
    <border>
      <left style="thin">
        <color indexed="8"/>
      </left>
      <right>
        <color indexed="63"/>
      </right>
      <top style="medium"/>
      <bottom style="dashDotDot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dashDotDot"/>
    </border>
    <border>
      <left style="thin">
        <color indexed="8"/>
      </left>
      <right style="medium"/>
      <top style="medium"/>
      <bottom style="dashDotDot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ashDotDot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DotDot"/>
    </border>
    <border>
      <left style="thin"/>
      <right style="thin"/>
      <top style="medium"/>
      <bottom style="dashDotDot"/>
    </border>
    <border>
      <left style="thin">
        <color indexed="8"/>
      </left>
      <right style="thin"/>
      <top style="medium"/>
      <bottom style="dashDotDot"/>
    </border>
    <border>
      <left style="thin"/>
      <right style="thin">
        <color indexed="8"/>
      </right>
      <top style="medium"/>
      <bottom style="dashDotDot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dashDotDot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dashDotDot"/>
      <bottom style="medium"/>
    </border>
    <border>
      <left style="thin">
        <color indexed="8"/>
      </left>
      <right style="thin">
        <color indexed="8"/>
      </right>
      <top style="dashDotDot"/>
      <bottom style="medium"/>
    </border>
    <border>
      <left style="thin">
        <color indexed="8"/>
      </left>
      <right style="thin"/>
      <top style="dashDotDot"/>
      <bottom style="medium"/>
    </border>
    <border>
      <left style="medium"/>
      <right style="thin">
        <color indexed="8"/>
      </right>
      <top>
        <color indexed="63"/>
      </top>
      <bottom style="dashDotDot"/>
    </border>
    <border>
      <left style="thin">
        <color indexed="8"/>
      </left>
      <right>
        <color indexed="63"/>
      </right>
      <top>
        <color indexed="63"/>
      </top>
      <bottom style="dashDotDot"/>
    </border>
    <border>
      <left style="thin">
        <color indexed="8"/>
      </left>
      <right style="medium"/>
      <top>
        <color indexed="63"/>
      </top>
      <bottom style="dashDotDot"/>
    </border>
    <border>
      <left>
        <color indexed="63"/>
      </left>
      <right style="thin">
        <color indexed="8"/>
      </right>
      <top>
        <color indexed="63"/>
      </top>
      <bottom style="dashDotDot"/>
    </border>
    <border>
      <left style="thin"/>
      <right style="medium"/>
      <top style="medium"/>
      <bottom style="dashDotDot"/>
    </border>
    <border>
      <left style="thin"/>
      <right style="thin"/>
      <top style="dashDotDot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dashDotDot"/>
      <bottom style="medium"/>
    </border>
    <border>
      <left style="medium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Dot"/>
    </border>
    <border>
      <left style="thin"/>
      <right style="medium"/>
      <top>
        <color indexed="63"/>
      </top>
      <bottom style="dashDotDot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DotDot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7" fillId="24" borderId="12" xfId="0" applyNumberFormat="1" applyFont="1" applyFill="1" applyBorder="1" applyAlignment="1">
      <alignment horizontal="center" vertical="center" wrapText="1"/>
    </xf>
    <xf numFmtId="1" fontId="5" fillId="24" borderId="13" xfId="0" applyNumberFormat="1" applyFont="1" applyFill="1" applyBorder="1" applyAlignment="1">
      <alignment horizontal="center" vertical="center" wrapText="1"/>
    </xf>
    <xf numFmtId="1" fontId="7" fillId="24" borderId="14" xfId="0" applyNumberFormat="1" applyFont="1" applyFill="1" applyBorder="1" applyAlignment="1">
      <alignment horizontal="left" vertical="center" wrapText="1"/>
    </xf>
    <xf numFmtId="1" fontId="7" fillId="24" borderId="15" xfId="0" applyNumberFormat="1" applyFont="1" applyFill="1" applyBorder="1" applyAlignment="1">
      <alignment horizontal="left" vertical="center" wrapText="1"/>
    </xf>
    <xf numFmtId="1" fontId="10" fillId="24" borderId="16" xfId="0" applyNumberFormat="1" applyFont="1" applyFill="1" applyBorder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7" fillId="24" borderId="18" xfId="0" applyNumberFormat="1" applyFont="1" applyFill="1" applyBorder="1" applyAlignment="1">
      <alignment horizontal="center" vertical="center" wrapText="1"/>
    </xf>
    <xf numFmtId="1" fontId="1" fillId="24" borderId="19" xfId="0" applyNumberFormat="1" applyFont="1" applyFill="1" applyBorder="1" applyAlignment="1">
      <alignment horizontal="center" vertical="center" wrapText="1"/>
    </xf>
    <xf numFmtId="1" fontId="7" fillId="24" borderId="20" xfId="0" applyNumberFormat="1" applyFont="1" applyFill="1" applyBorder="1" applyAlignment="1">
      <alignment horizontal="left" vertical="center" wrapText="1"/>
    </xf>
    <xf numFmtId="1" fontId="7" fillId="24" borderId="21" xfId="0" applyNumberFormat="1" applyFont="1" applyFill="1" applyBorder="1" applyAlignment="1">
      <alignment horizontal="left" vertical="center" wrapText="1"/>
    </xf>
    <xf numFmtId="1" fontId="10" fillId="24" borderId="22" xfId="0" applyNumberFormat="1" applyFont="1" applyFill="1" applyBorder="1" applyAlignment="1">
      <alignment horizontal="center" vertical="center" wrapText="1"/>
    </xf>
    <xf numFmtId="1" fontId="5" fillId="24" borderId="23" xfId="0" applyNumberFormat="1" applyFont="1" applyFill="1" applyBorder="1" applyAlignment="1">
      <alignment horizontal="center" vertical="center" wrapText="1"/>
    </xf>
    <xf numFmtId="1" fontId="5" fillId="24" borderId="24" xfId="0" applyNumberFormat="1" applyFont="1" applyFill="1" applyBorder="1" applyAlignment="1">
      <alignment horizontal="center" vertical="center" wrapText="1"/>
    </xf>
    <xf numFmtId="1" fontId="0" fillId="24" borderId="25" xfId="0" applyNumberFormat="1" applyFill="1" applyBorder="1" applyAlignment="1">
      <alignment horizontal="center" vertical="center" wrapText="1"/>
    </xf>
    <xf numFmtId="1" fontId="0" fillId="24" borderId="26" xfId="0" applyNumberFormat="1" applyFill="1" applyBorder="1" applyAlignment="1">
      <alignment horizontal="center" vertical="center" wrapText="1"/>
    </xf>
    <xf numFmtId="1" fontId="5" fillId="24" borderId="27" xfId="0" applyNumberFormat="1" applyFont="1" applyFill="1" applyBorder="1" applyAlignment="1">
      <alignment horizontal="center" vertical="center" wrapText="1"/>
    </xf>
    <xf numFmtId="1" fontId="5" fillId="24" borderId="28" xfId="0" applyNumberFormat="1" applyFont="1" applyFill="1" applyBorder="1" applyAlignment="1">
      <alignment horizontal="center" vertical="center" wrapText="1"/>
    </xf>
    <xf numFmtId="1" fontId="7" fillId="24" borderId="29" xfId="0" applyNumberFormat="1" applyFont="1" applyFill="1" applyBorder="1" applyAlignment="1">
      <alignment horizontal="left" vertical="center" wrapText="1"/>
    </xf>
    <xf numFmtId="1" fontId="5" fillId="24" borderId="3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5" fillId="24" borderId="31" xfId="0" applyNumberFormat="1" applyFont="1" applyFill="1" applyBorder="1" applyAlignment="1">
      <alignment horizontal="center" vertical="center" wrapText="1"/>
    </xf>
    <xf numFmtId="1" fontId="5" fillId="24" borderId="21" xfId="0" applyNumberFormat="1" applyFont="1" applyFill="1" applyBorder="1" applyAlignment="1">
      <alignment horizontal="center" vertical="center" wrapText="1"/>
    </xf>
    <xf numFmtId="1" fontId="5" fillId="24" borderId="19" xfId="0" applyNumberFormat="1" applyFont="1" applyFill="1" applyBorder="1" applyAlignment="1">
      <alignment horizontal="center" vertical="center" wrapText="1"/>
    </xf>
    <xf numFmtId="1" fontId="5" fillId="24" borderId="32" xfId="0" applyNumberFormat="1" applyFont="1" applyFill="1" applyBorder="1" applyAlignment="1">
      <alignment horizontal="center" vertical="center" wrapText="1"/>
    </xf>
    <xf numFmtId="1" fontId="7" fillId="24" borderId="33" xfId="0" applyNumberFormat="1" applyFont="1" applyFill="1" applyBorder="1" applyAlignment="1">
      <alignment horizontal="center" vertical="center" wrapText="1"/>
    </xf>
    <xf numFmtId="1" fontId="5" fillId="24" borderId="34" xfId="0" applyNumberFormat="1" applyFont="1" applyFill="1" applyBorder="1" applyAlignment="1">
      <alignment horizontal="center" vertical="center" wrapText="1"/>
    </xf>
    <xf numFmtId="1" fontId="7" fillId="24" borderId="35" xfId="0" applyNumberFormat="1" applyFont="1" applyFill="1" applyBorder="1" applyAlignment="1">
      <alignment horizontal="left" vertical="center" wrapText="1"/>
    </xf>
    <xf numFmtId="1" fontId="7" fillId="24" borderId="36" xfId="0" applyNumberFormat="1" applyFont="1" applyFill="1" applyBorder="1" applyAlignment="1">
      <alignment horizontal="left" vertical="center" wrapText="1"/>
    </xf>
    <xf numFmtId="1" fontId="5" fillId="24" borderId="37" xfId="0" applyNumberFormat="1" applyFont="1" applyFill="1" applyBorder="1" applyAlignment="1">
      <alignment horizontal="center" vertical="center" wrapText="1"/>
    </xf>
    <xf numFmtId="1" fontId="5" fillId="24" borderId="38" xfId="0" applyNumberFormat="1" applyFont="1" applyFill="1" applyBorder="1" applyAlignment="1">
      <alignment horizontal="center" vertical="center" wrapText="1"/>
    </xf>
    <xf numFmtId="1" fontId="7" fillId="24" borderId="39" xfId="0" applyNumberFormat="1" applyFont="1" applyFill="1" applyBorder="1" applyAlignment="1">
      <alignment horizontal="center" vertical="center" wrapText="1"/>
    </xf>
    <xf numFmtId="1" fontId="7" fillId="24" borderId="19" xfId="0" applyNumberFormat="1" applyFont="1" applyFill="1" applyBorder="1" applyAlignment="1">
      <alignment horizontal="left" vertical="center" wrapText="1"/>
    </xf>
    <xf numFmtId="1" fontId="11" fillId="24" borderId="19" xfId="0" applyNumberFormat="1" applyFont="1" applyFill="1" applyBorder="1" applyAlignment="1">
      <alignment horizontal="left" vertical="center" wrapText="1"/>
    </xf>
    <xf numFmtId="1" fontId="5" fillId="24" borderId="40" xfId="0" applyNumberFormat="1" applyFont="1" applyFill="1" applyBorder="1" applyAlignment="1">
      <alignment horizontal="center" vertical="center" wrapText="1"/>
    </xf>
    <xf numFmtId="1" fontId="7" fillId="24" borderId="41" xfId="0" applyNumberFormat="1" applyFont="1" applyFill="1" applyBorder="1" applyAlignment="1">
      <alignment horizontal="center" vertical="center" wrapText="1"/>
    </xf>
    <xf numFmtId="1" fontId="5" fillId="24" borderId="42" xfId="0" applyNumberFormat="1" applyFont="1" applyFill="1" applyBorder="1" applyAlignment="1">
      <alignment horizontal="center" vertical="center" wrapText="1"/>
    </xf>
    <xf numFmtId="1" fontId="7" fillId="24" borderId="43" xfId="0" applyNumberFormat="1" applyFont="1" applyFill="1" applyBorder="1" applyAlignment="1">
      <alignment horizontal="left" vertical="center" wrapText="1"/>
    </xf>
    <xf numFmtId="1" fontId="7" fillId="24" borderId="44" xfId="0" applyNumberFormat="1" applyFont="1" applyFill="1" applyBorder="1" applyAlignment="1">
      <alignment horizontal="left" vertical="center" wrapText="1"/>
    </xf>
    <xf numFmtId="1" fontId="10" fillId="24" borderId="45" xfId="0" applyNumberFormat="1" applyFont="1" applyFill="1" applyBorder="1" applyAlignment="1">
      <alignment horizontal="center" vertical="center" wrapText="1"/>
    </xf>
    <xf numFmtId="1" fontId="5" fillId="24" borderId="42" xfId="0" applyNumberFormat="1" applyFont="1" applyFill="1" applyBorder="1" applyAlignment="1">
      <alignment horizontal="center" vertical="center" wrapText="1"/>
    </xf>
    <xf numFmtId="1" fontId="5" fillId="24" borderId="46" xfId="0" applyNumberFormat="1" applyFont="1" applyFill="1" applyBorder="1" applyAlignment="1">
      <alignment horizontal="center" vertical="center" wrapText="1"/>
    </xf>
    <xf numFmtId="1" fontId="7" fillId="24" borderId="47" xfId="0" applyNumberFormat="1" applyFont="1" applyFill="1" applyBorder="1" applyAlignment="1">
      <alignment horizontal="center" vertical="center" wrapText="1"/>
    </xf>
    <xf numFmtId="1" fontId="1" fillId="24" borderId="48" xfId="0" applyNumberFormat="1" applyFont="1" applyFill="1" applyBorder="1" applyAlignment="1">
      <alignment horizontal="center" vertical="center" wrapText="1"/>
    </xf>
    <xf numFmtId="1" fontId="7" fillId="24" borderId="4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" fontId="7" fillId="24" borderId="50" xfId="0" applyNumberFormat="1" applyFont="1" applyFill="1" applyBorder="1" applyAlignment="1">
      <alignment horizontal="center" vertical="center" wrapText="1"/>
    </xf>
    <xf numFmtId="1" fontId="7" fillId="24" borderId="51" xfId="0" applyNumberFormat="1" applyFont="1" applyFill="1" applyBorder="1" applyAlignment="1">
      <alignment horizontal="left" vertical="center" wrapText="1"/>
    </xf>
    <xf numFmtId="1" fontId="10" fillId="24" borderId="23" xfId="0" applyNumberFormat="1" applyFont="1" applyFill="1" applyBorder="1" applyAlignment="1">
      <alignment horizontal="center" vertical="center" wrapText="1"/>
    </xf>
    <xf numFmtId="1" fontId="5" fillId="24" borderId="52" xfId="0" applyNumberFormat="1" applyFont="1" applyFill="1" applyBorder="1" applyAlignment="1">
      <alignment horizontal="center" vertical="center" wrapText="1"/>
    </xf>
    <xf numFmtId="1" fontId="10" fillId="24" borderId="53" xfId="0" applyNumberFormat="1" applyFont="1" applyFill="1" applyBorder="1" applyAlignment="1">
      <alignment horizontal="center" vertical="center" wrapText="1"/>
    </xf>
    <xf numFmtId="3" fontId="10" fillId="24" borderId="0" xfId="0" applyNumberFormat="1" applyFont="1" applyFill="1" applyBorder="1" applyAlignment="1">
      <alignment horizontal="center" vertical="center" wrapText="1"/>
    </xf>
    <xf numFmtId="1" fontId="8" fillId="24" borderId="36" xfId="0" applyNumberFormat="1" applyFont="1" applyFill="1" applyBorder="1" applyAlignment="1">
      <alignment horizontal="left" vertical="center" wrapText="1"/>
    </xf>
    <xf numFmtId="1" fontId="10" fillId="24" borderId="37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1" fontId="7" fillId="24" borderId="27" xfId="0" applyNumberFormat="1" applyFont="1" applyFill="1" applyBorder="1" applyAlignment="1">
      <alignment horizontal="center" vertical="center" wrapText="1"/>
    </xf>
    <xf numFmtId="1" fontId="5" fillId="24" borderId="28" xfId="0" applyNumberFormat="1" applyFont="1" applyFill="1" applyBorder="1" applyAlignment="1">
      <alignment horizontal="center" vertical="center" wrapText="1"/>
    </xf>
    <xf numFmtId="1" fontId="5" fillId="24" borderId="28" xfId="0" applyNumberFormat="1" applyFont="1" applyFill="1" applyBorder="1" applyAlignment="1">
      <alignment horizontal="left" vertical="center" wrapText="1"/>
    </xf>
    <xf numFmtId="1" fontId="10" fillId="24" borderId="15" xfId="0" applyNumberFormat="1" applyFont="1" applyFill="1" applyBorder="1" applyAlignment="1">
      <alignment horizontal="center" vertical="center" wrapText="1"/>
    </xf>
    <xf numFmtId="1" fontId="5" fillId="24" borderId="54" xfId="0" applyNumberFormat="1" applyFont="1" applyFill="1" applyBorder="1" applyAlignment="1">
      <alignment horizontal="center" vertical="center" wrapText="1"/>
    </xf>
    <xf numFmtId="1" fontId="1" fillId="24" borderId="21" xfId="0" applyNumberFormat="1" applyFont="1" applyFill="1" applyBorder="1" applyAlignment="1">
      <alignment horizontal="center" vertical="center" wrapText="1"/>
    </xf>
    <xf numFmtId="1" fontId="5" fillId="24" borderId="21" xfId="0" applyNumberFormat="1" applyFont="1" applyFill="1" applyBorder="1" applyAlignment="1">
      <alignment horizontal="left" vertical="center" wrapText="1"/>
    </xf>
    <xf numFmtId="1" fontId="10" fillId="24" borderId="55" xfId="0" applyNumberFormat="1" applyFont="1" applyFill="1" applyBorder="1" applyAlignment="1">
      <alignment horizontal="center" vertical="center" wrapText="1"/>
    </xf>
    <xf numFmtId="1" fontId="5" fillId="24" borderId="56" xfId="0" applyNumberFormat="1" applyFont="1" applyFill="1" applyBorder="1" applyAlignment="1">
      <alignment horizontal="center" vertical="center" wrapText="1"/>
    </xf>
    <xf numFmtId="1" fontId="7" fillId="24" borderId="28" xfId="0" applyNumberFormat="1" applyFont="1" applyFill="1" applyBorder="1" applyAlignment="1">
      <alignment horizontal="left" vertical="center" wrapText="1"/>
    </xf>
    <xf numFmtId="1" fontId="10" fillId="24" borderId="28" xfId="0" applyNumberFormat="1" applyFont="1" applyFill="1" applyBorder="1" applyAlignment="1">
      <alignment horizontal="center" vertical="center" wrapText="1"/>
    </xf>
    <xf numFmtId="1" fontId="7" fillId="24" borderId="31" xfId="0" applyNumberFormat="1" applyFont="1" applyFill="1" applyBorder="1" applyAlignment="1">
      <alignment horizontal="center" vertical="center" wrapText="1"/>
    </xf>
    <xf numFmtId="1" fontId="1" fillId="24" borderId="21" xfId="0" applyNumberFormat="1" applyFont="1" applyFill="1" applyBorder="1" applyAlignment="1">
      <alignment horizontal="center" vertical="center" wrapText="1"/>
    </xf>
    <xf numFmtId="1" fontId="10" fillId="24" borderId="21" xfId="0" applyNumberFormat="1" applyFont="1" applyFill="1" applyBorder="1" applyAlignment="1">
      <alignment horizontal="center" vertical="center" wrapText="1"/>
    </xf>
    <xf numFmtId="1" fontId="7" fillId="24" borderId="13" xfId="0" applyNumberFormat="1" applyFont="1" applyFill="1" applyBorder="1" applyAlignment="1">
      <alignment horizontal="left" vertical="center" wrapText="1"/>
    </xf>
    <xf numFmtId="1" fontId="7" fillId="24" borderId="57" xfId="0" applyNumberFormat="1" applyFont="1" applyFill="1" applyBorder="1" applyAlignment="1">
      <alignment horizontal="left" vertical="center" wrapText="1"/>
    </xf>
    <xf numFmtId="1" fontId="10" fillId="24" borderId="13" xfId="0" applyNumberFormat="1" applyFont="1" applyFill="1" applyBorder="1" applyAlignment="1">
      <alignment horizontal="center" vertical="center" wrapText="1"/>
    </xf>
    <xf numFmtId="1" fontId="7" fillId="24" borderId="48" xfId="0" applyNumberFormat="1" applyFont="1" applyFill="1" applyBorder="1" applyAlignment="1">
      <alignment horizontal="left" vertical="center" wrapText="1"/>
    </xf>
    <xf numFmtId="1" fontId="5" fillId="24" borderId="58" xfId="0" applyNumberFormat="1" applyFont="1" applyFill="1" applyBorder="1" applyAlignment="1">
      <alignment horizontal="center" vertical="center" wrapText="1"/>
    </xf>
    <xf numFmtId="1" fontId="5" fillId="24" borderId="59" xfId="0" applyNumberFormat="1" applyFont="1" applyFill="1" applyBorder="1" applyAlignment="1">
      <alignment horizontal="center" vertical="center" wrapText="1"/>
    </xf>
    <xf numFmtId="1" fontId="10" fillId="24" borderId="60" xfId="0" applyNumberFormat="1" applyFont="1" applyFill="1" applyBorder="1" applyAlignment="1">
      <alignment horizontal="center" vertical="center" wrapText="1"/>
    </xf>
    <xf numFmtId="1" fontId="5" fillId="24" borderId="29" xfId="0" applyNumberFormat="1" applyFont="1" applyFill="1" applyBorder="1" applyAlignment="1">
      <alignment horizontal="center" vertical="center" wrapText="1"/>
    </xf>
    <xf numFmtId="1" fontId="10" fillId="24" borderId="32" xfId="0" applyNumberFormat="1" applyFont="1" applyFill="1" applyBorder="1" applyAlignment="1">
      <alignment horizontal="center" vertical="center" wrapText="1"/>
    </xf>
    <xf numFmtId="1" fontId="7" fillId="24" borderId="28" xfId="0" applyNumberFormat="1" applyFont="1" applyFill="1" applyBorder="1" applyAlignment="1">
      <alignment horizontal="center" vertical="center" wrapText="1"/>
    </xf>
    <xf numFmtId="1" fontId="11" fillId="24" borderId="28" xfId="0" applyNumberFormat="1" applyFont="1" applyFill="1" applyBorder="1" applyAlignment="1">
      <alignment horizontal="left" vertical="center" wrapText="1"/>
    </xf>
    <xf numFmtId="1" fontId="10" fillId="24" borderId="28" xfId="0" applyNumberFormat="1" applyFont="1" applyFill="1" applyBorder="1" applyAlignment="1">
      <alignment horizontal="center" vertical="center" wrapText="1"/>
    </xf>
    <xf numFmtId="1" fontId="7" fillId="24" borderId="61" xfId="0" applyNumberFormat="1" applyFont="1" applyFill="1" applyBorder="1" applyAlignment="1">
      <alignment horizontal="center" vertical="center" wrapText="1"/>
    </xf>
    <xf numFmtId="1" fontId="5" fillId="24" borderId="61" xfId="0" applyNumberFormat="1" applyFont="1" applyFill="1" applyBorder="1" applyAlignment="1">
      <alignment horizontal="center" vertical="center" wrapText="1"/>
    </xf>
    <xf numFmtId="1" fontId="7" fillId="24" borderId="61" xfId="0" applyNumberFormat="1" applyFont="1" applyFill="1" applyBorder="1" applyAlignment="1">
      <alignment horizontal="left" vertical="center" wrapText="1"/>
    </xf>
    <xf numFmtId="1" fontId="11" fillId="24" borderId="61" xfId="0" applyNumberFormat="1" applyFont="1" applyFill="1" applyBorder="1" applyAlignment="1">
      <alignment horizontal="left" vertical="center" wrapText="1"/>
    </xf>
    <xf numFmtId="1" fontId="10" fillId="24" borderId="39" xfId="0" applyNumberFormat="1" applyFont="1" applyFill="1" applyBorder="1" applyAlignment="1">
      <alignment horizontal="center" vertical="center" wrapText="1"/>
    </xf>
    <xf numFmtId="1" fontId="7" fillId="24" borderId="62" xfId="0" applyNumberFormat="1" applyFont="1" applyFill="1" applyBorder="1" applyAlignment="1">
      <alignment horizontal="center" vertical="center" wrapText="1"/>
    </xf>
    <xf numFmtId="1" fontId="5" fillId="24" borderId="62" xfId="0" applyNumberFormat="1" applyFont="1" applyFill="1" applyBorder="1" applyAlignment="1">
      <alignment horizontal="center" vertical="center" wrapText="1"/>
    </xf>
    <xf numFmtId="1" fontId="7" fillId="24" borderId="62" xfId="0" applyNumberFormat="1" applyFont="1" applyFill="1" applyBorder="1" applyAlignment="1">
      <alignment horizontal="left" vertical="center" wrapText="1"/>
    </xf>
    <xf numFmtId="1" fontId="11" fillId="24" borderId="62" xfId="0" applyNumberFormat="1" applyFont="1" applyFill="1" applyBorder="1" applyAlignment="1">
      <alignment horizontal="left" vertical="center" wrapText="1"/>
    </xf>
    <xf numFmtId="1" fontId="10" fillId="24" borderId="60" xfId="0" applyNumberFormat="1" applyFont="1" applyFill="1" applyBorder="1" applyAlignment="1">
      <alignment horizontal="center" vertical="center" wrapText="1"/>
    </xf>
    <xf numFmtId="1" fontId="5" fillId="24" borderId="63" xfId="0" applyNumberFormat="1" applyFont="1" applyFill="1" applyBorder="1" applyAlignment="1">
      <alignment horizontal="center" vertical="center" wrapText="1"/>
    </xf>
    <xf numFmtId="1" fontId="10" fillId="24" borderId="61" xfId="0" applyNumberFormat="1" applyFont="1" applyFill="1" applyBorder="1" applyAlignment="1">
      <alignment horizontal="center" vertical="center" wrapText="1"/>
    </xf>
    <xf numFmtId="1" fontId="7" fillId="24" borderId="64" xfId="0" applyNumberFormat="1" applyFont="1" applyFill="1" applyBorder="1" applyAlignment="1">
      <alignment horizontal="center" vertical="center" wrapText="1"/>
    </xf>
    <xf numFmtId="1" fontId="1" fillId="24" borderId="44" xfId="0" applyNumberFormat="1" applyFont="1" applyFill="1" applyBorder="1" applyAlignment="1">
      <alignment horizontal="center" vertical="center" wrapText="1"/>
    </xf>
    <xf numFmtId="1" fontId="5" fillId="24" borderId="6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" fontId="7" fillId="24" borderId="55" xfId="0" applyNumberFormat="1" applyFont="1" applyFill="1" applyBorder="1" applyAlignment="1">
      <alignment horizontal="left" vertical="center" wrapText="1"/>
    </xf>
    <xf numFmtId="1" fontId="5" fillId="24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7" fillId="24" borderId="44" xfId="0" applyNumberFormat="1" applyFont="1" applyFill="1" applyBorder="1" applyAlignment="1">
      <alignment horizontal="left" vertical="center" wrapText="1"/>
    </xf>
    <xf numFmtId="1" fontId="7" fillId="24" borderId="21" xfId="0" applyNumberFormat="1" applyFont="1" applyFill="1" applyBorder="1" applyAlignment="1">
      <alignment horizontal="left" vertical="center" wrapText="1"/>
    </xf>
    <xf numFmtId="1" fontId="7" fillId="24" borderId="15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4" fontId="6" fillId="0" borderId="67" xfId="0" applyNumberFormat="1" applyFont="1" applyFill="1" applyBorder="1" applyAlignment="1">
      <alignment horizontal="center" vertical="center" wrapText="1"/>
    </xf>
    <xf numFmtId="4" fontId="6" fillId="0" borderId="68" xfId="0" applyNumberFormat="1" applyFont="1" applyFill="1" applyBorder="1" applyAlignment="1">
      <alignment horizontal="center" vertical="center" wrapText="1"/>
    </xf>
    <xf numFmtId="4" fontId="6" fillId="0" borderId="69" xfId="0" applyNumberFormat="1" applyFont="1" applyFill="1" applyBorder="1" applyAlignment="1">
      <alignment horizontal="center" vertical="center" wrapText="1"/>
    </xf>
    <xf numFmtId="4" fontId="6" fillId="0" borderId="70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1" fillId="24" borderId="15" xfId="0" applyNumberFormat="1" applyFont="1" applyFill="1" applyBorder="1" applyAlignment="1">
      <alignment horizontal="left" vertical="center" wrapText="1"/>
    </xf>
    <xf numFmtId="1" fontId="11" fillId="24" borderId="21" xfId="0" applyNumberFormat="1" applyFont="1" applyFill="1" applyBorder="1" applyAlignment="1">
      <alignment horizontal="left" vertical="center" wrapText="1"/>
    </xf>
    <xf numFmtId="1" fontId="1" fillId="24" borderId="76" xfId="0" applyNumberFormat="1" applyFont="1" applyFill="1" applyBorder="1" applyAlignment="1">
      <alignment horizontal="center" vertical="center" wrapText="1"/>
    </xf>
    <xf numFmtId="1" fontId="1" fillId="24" borderId="77" xfId="0" applyNumberFormat="1" applyFont="1" applyFill="1" applyBorder="1" applyAlignment="1">
      <alignment horizontal="center" vertical="center" wrapText="1"/>
    </xf>
    <xf numFmtId="1" fontId="1" fillId="24" borderId="78" xfId="0" applyNumberFormat="1" applyFont="1" applyFill="1" applyBorder="1" applyAlignment="1">
      <alignment horizontal="center" vertical="center" wrapText="1"/>
    </xf>
    <xf numFmtId="1" fontId="1" fillId="24" borderId="79" xfId="0" applyNumberFormat="1" applyFont="1" applyFill="1" applyBorder="1" applyAlignment="1">
      <alignment horizontal="center" vertical="center" wrapText="1"/>
    </xf>
    <xf numFmtId="1" fontId="1" fillId="24" borderId="72" xfId="0" applyNumberFormat="1" applyFont="1" applyFill="1" applyBorder="1" applyAlignment="1">
      <alignment horizontal="center" vertical="center" wrapText="1"/>
    </xf>
    <xf numFmtId="1" fontId="1" fillId="24" borderId="8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" fontId="1" fillId="24" borderId="26" xfId="0" applyNumberFormat="1" applyFont="1" applyFill="1" applyBorder="1" applyAlignment="1">
      <alignment horizontal="center" vertical="center" wrapText="1"/>
    </xf>
    <xf numFmtId="1" fontId="1" fillId="24" borderId="81" xfId="0" applyNumberFormat="1" applyFont="1" applyFill="1" applyBorder="1" applyAlignment="1">
      <alignment horizontal="center" vertical="center" wrapText="1"/>
    </xf>
    <xf numFmtId="1" fontId="1" fillId="24" borderId="82" xfId="0" applyNumberFormat="1" applyFont="1" applyFill="1" applyBorder="1" applyAlignment="1">
      <alignment horizontal="center" vertical="center" wrapText="1"/>
    </xf>
    <xf numFmtId="1" fontId="1" fillId="24" borderId="83" xfId="0" applyNumberFormat="1" applyFont="1" applyFill="1" applyBorder="1" applyAlignment="1">
      <alignment horizontal="center" vertical="center" wrapText="1"/>
    </xf>
    <xf numFmtId="1" fontId="1" fillId="24" borderId="84" xfId="0" applyNumberFormat="1" applyFont="1" applyFill="1" applyBorder="1" applyAlignment="1">
      <alignment horizontal="center" vertical="center" wrapText="1"/>
    </xf>
    <xf numFmtId="1" fontId="1" fillId="24" borderId="8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lmas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3"/>
  <sheetViews>
    <sheetView tabSelected="1" zoomScalePageLayoutView="0" workbookViewId="0" topLeftCell="A39">
      <selection activeCell="A7" sqref="A7:G7"/>
    </sheetView>
  </sheetViews>
  <sheetFormatPr defaultColWidth="9.140625" defaultRowHeight="12.75"/>
  <cols>
    <col min="1" max="1" width="5.57421875" style="4" customWidth="1"/>
    <col min="2" max="2" width="19.28125" style="4" customWidth="1"/>
    <col min="3" max="3" width="28.421875" style="4" customWidth="1"/>
    <col min="4" max="4" width="50.8515625" style="4" customWidth="1"/>
    <col min="5" max="5" width="13.28125" style="2" customWidth="1"/>
    <col min="6" max="6" width="12.57421875" style="2" customWidth="1"/>
    <col min="7" max="7" width="12.28125" style="3" customWidth="1"/>
    <col min="8" max="8" width="11.8515625" style="4" customWidth="1"/>
    <col min="9" max="9" width="13.421875" style="4" customWidth="1"/>
    <col min="10" max="16384" width="9.140625" style="4" customWidth="1"/>
  </cols>
  <sheetData>
    <row r="1" spans="1:7" s="112" customFormat="1" ht="18">
      <c r="A1" s="118" t="s">
        <v>143</v>
      </c>
      <c r="B1" s="118"/>
      <c r="C1" s="118"/>
      <c r="D1" s="118"/>
      <c r="E1" s="118"/>
      <c r="F1" s="118"/>
      <c r="G1" s="118"/>
    </row>
    <row r="2" spans="1:7" ht="18">
      <c r="A2" s="119" t="s">
        <v>144</v>
      </c>
      <c r="B2" s="119"/>
      <c r="C2" s="119"/>
      <c r="D2" s="119"/>
      <c r="E2" s="119"/>
      <c r="F2" s="119"/>
      <c r="G2" s="119"/>
    </row>
    <row r="3" spans="1:7" ht="18">
      <c r="A3" s="119" t="s">
        <v>145</v>
      </c>
      <c r="B3" s="119"/>
      <c r="C3" s="119"/>
      <c r="D3" s="119"/>
      <c r="E3" s="119"/>
      <c r="F3" s="119"/>
      <c r="G3" s="119"/>
    </row>
    <row r="4" spans="1:7" ht="15">
      <c r="A4" s="120" t="s">
        <v>140</v>
      </c>
      <c r="B4" s="120"/>
      <c r="C4" s="120"/>
      <c r="D4" s="120"/>
      <c r="E4" s="120"/>
      <c r="F4" s="120"/>
      <c r="G4" s="120"/>
    </row>
    <row r="5" spans="1:7" ht="15">
      <c r="A5" s="116" t="s">
        <v>141</v>
      </c>
      <c r="B5" s="116"/>
      <c r="C5" s="116"/>
      <c r="D5" s="116"/>
      <c r="E5" s="116"/>
      <c r="F5" s="116"/>
      <c r="G5" s="116"/>
    </row>
    <row r="6" spans="1:7" ht="15">
      <c r="A6" s="5"/>
      <c r="B6" s="5"/>
      <c r="C6" s="5"/>
      <c r="D6" s="5"/>
      <c r="E6" s="6"/>
      <c r="F6" s="6"/>
      <c r="G6" s="7"/>
    </row>
    <row r="7" spans="1:7" ht="15.75">
      <c r="A7" s="117" t="s">
        <v>1</v>
      </c>
      <c r="B7" s="117"/>
      <c r="C7" s="117"/>
      <c r="D7" s="117"/>
      <c r="E7" s="117"/>
      <c r="F7" s="117"/>
      <c r="G7" s="117"/>
    </row>
    <row r="8" spans="1:7" ht="15.75">
      <c r="A8" s="117"/>
      <c r="B8" s="117"/>
      <c r="C8" s="117"/>
      <c r="D8" s="117"/>
      <c r="E8" s="117"/>
      <c r="F8" s="117"/>
      <c r="G8" s="117"/>
    </row>
    <row r="9" spans="1:10" ht="16.5" thickBot="1">
      <c r="A9" s="5"/>
      <c r="B9" s="5"/>
      <c r="C9" s="5"/>
      <c r="D9" s="121" t="s">
        <v>142</v>
      </c>
      <c r="E9" s="121"/>
      <c r="F9" s="121"/>
      <c r="G9" s="121"/>
      <c r="H9" s="121"/>
      <c r="I9" s="121"/>
      <c r="J9" s="121"/>
    </row>
    <row r="10" spans="1:7" ht="13.5" customHeight="1" thickBot="1">
      <c r="A10" s="129" t="s">
        <v>2</v>
      </c>
      <c r="B10" s="131" t="s">
        <v>3</v>
      </c>
      <c r="C10" s="131" t="s">
        <v>0</v>
      </c>
      <c r="D10" s="131" t="s">
        <v>4</v>
      </c>
      <c r="E10" s="122" t="s">
        <v>5</v>
      </c>
      <c r="F10" s="122" t="s">
        <v>6</v>
      </c>
      <c r="G10" s="124" t="s">
        <v>7</v>
      </c>
    </row>
    <row r="11" spans="1:7" s="8" customFormat="1" ht="34.5" customHeight="1" thickBot="1">
      <c r="A11" s="130"/>
      <c r="B11" s="132"/>
      <c r="C11" s="132"/>
      <c r="D11" s="132"/>
      <c r="E11" s="123"/>
      <c r="F11" s="123"/>
      <c r="G11" s="125"/>
    </row>
    <row r="12" spans="1:7" s="8" customFormat="1" ht="21.75" customHeight="1" thickBot="1">
      <c r="A12" s="126" t="s">
        <v>8</v>
      </c>
      <c r="B12" s="127"/>
      <c r="C12" s="127"/>
      <c r="D12" s="127"/>
      <c r="E12" s="127"/>
      <c r="F12" s="127"/>
      <c r="G12" s="128"/>
    </row>
    <row r="13" spans="1:7" s="8" customFormat="1" ht="15.75" customHeight="1" hidden="1">
      <c r="A13" s="9"/>
      <c r="B13" s="10"/>
      <c r="C13" s="10"/>
      <c r="D13" s="10"/>
      <c r="E13" s="10"/>
      <c r="F13" s="10"/>
      <c r="G13" s="11"/>
    </row>
    <row r="14" spans="1:7" s="18" customFormat="1" ht="44.25" customHeight="1">
      <c r="A14" s="12">
        <v>1</v>
      </c>
      <c r="B14" s="13" t="s">
        <v>9</v>
      </c>
      <c r="C14" s="14" t="s">
        <v>10</v>
      </c>
      <c r="D14" s="115" t="s">
        <v>11</v>
      </c>
      <c r="E14" s="16">
        <f>590000*1.045</f>
        <v>616550</v>
      </c>
      <c r="F14" s="13">
        <f aca="true" t="shared" si="0" ref="F14:F28">E14*0.18</f>
        <v>110979</v>
      </c>
      <c r="G14" s="17">
        <f aca="true" t="shared" si="1" ref="G14:G25">E14*1.18</f>
        <v>727529</v>
      </c>
    </row>
    <row r="15" spans="1:7" s="18" customFormat="1" ht="44.25" customHeight="1" thickBot="1">
      <c r="A15" s="19">
        <v>2</v>
      </c>
      <c r="B15" s="20" t="s">
        <v>12</v>
      </c>
      <c r="C15" s="21" t="s">
        <v>10</v>
      </c>
      <c r="D15" s="114"/>
      <c r="E15" s="23">
        <f>616550+8000</f>
        <v>624550</v>
      </c>
      <c r="F15" s="24">
        <f t="shared" si="0"/>
        <v>112419</v>
      </c>
      <c r="G15" s="25">
        <f t="shared" si="1"/>
        <v>736969</v>
      </c>
    </row>
    <row r="16" spans="1:7" s="18" customFormat="1" ht="44.25" customHeight="1">
      <c r="A16" s="12">
        <v>3</v>
      </c>
      <c r="B16" s="13" t="s">
        <v>13</v>
      </c>
      <c r="C16" s="14" t="s">
        <v>10</v>
      </c>
      <c r="D16" s="115" t="s">
        <v>14</v>
      </c>
      <c r="E16" s="16">
        <f>630000*1.045</f>
        <v>658350</v>
      </c>
      <c r="F16" s="13">
        <f t="shared" si="0"/>
        <v>118503</v>
      </c>
      <c r="G16" s="17">
        <f t="shared" si="1"/>
        <v>776853</v>
      </c>
    </row>
    <row r="17" spans="1:7" s="18" customFormat="1" ht="44.25" customHeight="1" thickBot="1">
      <c r="A17" s="19">
        <v>4</v>
      </c>
      <c r="B17" s="20" t="s">
        <v>15</v>
      </c>
      <c r="C17" s="21" t="s">
        <v>10</v>
      </c>
      <c r="D17" s="114"/>
      <c r="E17" s="23">
        <f>658350+8000</f>
        <v>666350</v>
      </c>
      <c r="F17" s="24">
        <f t="shared" si="0"/>
        <v>119943</v>
      </c>
      <c r="G17" s="25">
        <f t="shared" si="1"/>
        <v>786293</v>
      </c>
    </row>
    <row r="18" spans="1:7" s="18" customFormat="1" ht="44.25" customHeight="1">
      <c r="A18" s="12">
        <v>5</v>
      </c>
      <c r="B18" s="13" t="s">
        <v>16</v>
      </c>
      <c r="C18" s="14" t="s">
        <v>10</v>
      </c>
      <c r="D18" s="134" t="s">
        <v>17</v>
      </c>
      <c r="E18" s="16">
        <f>600000*1.045</f>
        <v>627000</v>
      </c>
      <c r="F18" s="13">
        <f t="shared" si="0"/>
        <v>112860</v>
      </c>
      <c r="G18" s="17">
        <f t="shared" si="1"/>
        <v>739860</v>
      </c>
    </row>
    <row r="19" spans="1:7" s="18" customFormat="1" ht="31.5" customHeight="1" thickBot="1">
      <c r="A19" s="19">
        <v>6</v>
      </c>
      <c r="B19" s="20" t="s">
        <v>18</v>
      </c>
      <c r="C19" s="21" t="s">
        <v>10</v>
      </c>
      <c r="D19" s="135"/>
      <c r="E19" s="23">
        <f>627000+8000</f>
        <v>635000</v>
      </c>
      <c r="F19" s="24">
        <f t="shared" si="0"/>
        <v>114300</v>
      </c>
      <c r="G19" s="25">
        <f t="shared" si="1"/>
        <v>749300</v>
      </c>
    </row>
    <row r="20" spans="1:7" s="18" customFormat="1" ht="44.25" customHeight="1">
      <c r="A20" s="26">
        <v>7</v>
      </c>
      <c r="B20" s="13" t="s">
        <v>19</v>
      </c>
      <c r="C20" s="14" t="s">
        <v>10</v>
      </c>
      <c r="D20" s="115" t="s">
        <v>20</v>
      </c>
      <c r="E20" s="16">
        <v>663600</v>
      </c>
      <c r="F20" s="13">
        <f t="shared" si="0"/>
        <v>119448</v>
      </c>
      <c r="G20" s="17">
        <f t="shared" si="1"/>
        <v>783048</v>
      </c>
    </row>
    <row r="21" spans="1:7" s="18" customFormat="1" ht="44.25" customHeight="1" thickBot="1">
      <c r="A21" s="27">
        <v>8</v>
      </c>
      <c r="B21" s="20" t="s">
        <v>21</v>
      </c>
      <c r="C21" s="21" t="s">
        <v>10</v>
      </c>
      <c r="D21" s="114"/>
      <c r="E21" s="23">
        <v>671600</v>
      </c>
      <c r="F21" s="24">
        <f t="shared" si="0"/>
        <v>120888</v>
      </c>
      <c r="G21" s="25">
        <f t="shared" si="1"/>
        <v>792488</v>
      </c>
    </row>
    <row r="22" spans="1:7" s="32" customFormat="1" ht="66" customHeight="1">
      <c r="A22" s="28">
        <v>9</v>
      </c>
      <c r="B22" s="29" t="s">
        <v>22</v>
      </c>
      <c r="C22" s="30" t="s">
        <v>10</v>
      </c>
      <c r="D22" s="115" t="s">
        <v>23</v>
      </c>
      <c r="E22" s="29">
        <v>627000</v>
      </c>
      <c r="F22" s="31">
        <f t="shared" si="0"/>
        <v>112860</v>
      </c>
      <c r="G22" s="17">
        <f t="shared" si="1"/>
        <v>739860</v>
      </c>
    </row>
    <row r="23" spans="1:7" s="32" customFormat="1" ht="35.25" customHeight="1" thickBot="1">
      <c r="A23" s="33">
        <v>10</v>
      </c>
      <c r="B23" s="34" t="s">
        <v>24</v>
      </c>
      <c r="C23" s="21" t="s">
        <v>10</v>
      </c>
      <c r="D23" s="114"/>
      <c r="E23" s="34">
        <v>635000</v>
      </c>
      <c r="F23" s="35">
        <f t="shared" si="0"/>
        <v>114300</v>
      </c>
      <c r="G23" s="25">
        <f t="shared" si="1"/>
        <v>749300</v>
      </c>
    </row>
    <row r="24" spans="1:7" s="32" customFormat="1" ht="51" customHeight="1">
      <c r="A24" s="28">
        <v>11</v>
      </c>
      <c r="B24" s="29" t="s">
        <v>25</v>
      </c>
      <c r="C24" s="30" t="s">
        <v>10</v>
      </c>
      <c r="D24" s="134" t="s">
        <v>26</v>
      </c>
      <c r="E24" s="29">
        <v>663600</v>
      </c>
      <c r="F24" s="31">
        <f t="shared" si="0"/>
        <v>119448</v>
      </c>
      <c r="G24" s="17">
        <f t="shared" si="1"/>
        <v>783048</v>
      </c>
    </row>
    <row r="25" spans="1:7" s="32" customFormat="1" ht="36.75" customHeight="1" thickBot="1">
      <c r="A25" s="33">
        <v>12</v>
      </c>
      <c r="B25" s="34" t="s">
        <v>27</v>
      </c>
      <c r="C25" s="21" t="s">
        <v>10</v>
      </c>
      <c r="D25" s="135"/>
      <c r="E25" s="34">
        <v>671600</v>
      </c>
      <c r="F25" s="36">
        <f t="shared" si="0"/>
        <v>120888</v>
      </c>
      <c r="G25" s="25">
        <f t="shared" si="1"/>
        <v>792488</v>
      </c>
    </row>
    <row r="26" spans="1:7" s="18" customFormat="1" ht="21.75" customHeight="1" thickBot="1">
      <c r="A26" s="136" t="s">
        <v>28</v>
      </c>
      <c r="B26" s="137"/>
      <c r="C26" s="137"/>
      <c r="D26" s="137"/>
      <c r="E26" s="137"/>
      <c r="F26" s="137"/>
      <c r="G26" s="138"/>
    </row>
    <row r="27" spans="1:7" s="18" customFormat="1" ht="63" customHeight="1" thickBot="1">
      <c r="A27" s="37">
        <v>13</v>
      </c>
      <c r="B27" s="38" t="s">
        <v>29</v>
      </c>
      <c r="C27" s="39" t="s">
        <v>30</v>
      </c>
      <c r="D27" s="40" t="s">
        <v>31</v>
      </c>
      <c r="E27" s="41">
        <v>120400</v>
      </c>
      <c r="F27" s="13">
        <f t="shared" si="0"/>
        <v>21672</v>
      </c>
      <c r="G27" s="42">
        <f>E27*1.18</f>
        <v>142072</v>
      </c>
    </row>
    <row r="28" spans="1:7" s="18" customFormat="1" ht="55.5" customHeight="1" thickBot="1">
      <c r="A28" s="19">
        <v>14</v>
      </c>
      <c r="B28" s="35" t="s">
        <v>32</v>
      </c>
      <c r="C28" s="21" t="s">
        <v>33</v>
      </c>
      <c r="D28" s="22" t="s">
        <v>34</v>
      </c>
      <c r="E28" s="41">
        <v>214400</v>
      </c>
      <c r="F28" s="13">
        <f t="shared" si="0"/>
        <v>38592</v>
      </c>
      <c r="G28" s="25">
        <f>E28*1.18</f>
        <v>252992</v>
      </c>
    </row>
    <row r="29" spans="1:7" s="18" customFormat="1" ht="68.25" customHeight="1" hidden="1">
      <c r="A29" s="43">
        <v>7</v>
      </c>
      <c r="B29" s="35" t="s">
        <v>35</v>
      </c>
      <c r="C29" s="44" t="s">
        <v>30</v>
      </c>
      <c r="D29" s="45" t="s">
        <v>36</v>
      </c>
      <c r="E29" s="35">
        <v>107000</v>
      </c>
      <c r="F29" s="35">
        <f>E29*0.18</f>
        <v>19260</v>
      </c>
      <c r="G29" s="46">
        <f>E29*1.18</f>
        <v>126260</v>
      </c>
    </row>
    <row r="30" spans="1:7" s="8" customFormat="1" ht="21.75" customHeight="1" thickBot="1">
      <c r="A30" s="139" t="s">
        <v>37</v>
      </c>
      <c r="B30" s="140"/>
      <c r="C30" s="140"/>
      <c r="D30" s="140"/>
      <c r="E30" s="140"/>
      <c r="F30" s="140"/>
      <c r="G30" s="141"/>
    </row>
    <row r="31" spans="1:7" s="18" customFormat="1" ht="44.25" customHeight="1">
      <c r="A31" s="12">
        <v>15</v>
      </c>
      <c r="B31" s="13" t="s">
        <v>38</v>
      </c>
      <c r="C31" s="14" t="s">
        <v>39</v>
      </c>
      <c r="D31" s="115" t="s">
        <v>40</v>
      </c>
      <c r="E31" s="16">
        <v>281050</v>
      </c>
      <c r="F31" s="13">
        <f aca="true" t="shared" si="2" ref="F31:F81">E31*0.18</f>
        <v>50589</v>
      </c>
      <c r="G31" s="17">
        <f aca="true" t="shared" si="3" ref="G31:G42">E31*1.18</f>
        <v>331639</v>
      </c>
    </row>
    <row r="32" spans="1:7" s="18" customFormat="1" ht="45" customHeight="1" thickBot="1">
      <c r="A32" s="47">
        <v>16</v>
      </c>
      <c r="B32" s="48" t="s">
        <v>41</v>
      </c>
      <c r="C32" s="49" t="s">
        <v>39</v>
      </c>
      <c r="D32" s="113"/>
      <c r="E32" s="51">
        <v>288750</v>
      </c>
      <c r="F32" s="52">
        <f t="shared" si="2"/>
        <v>51975</v>
      </c>
      <c r="G32" s="53">
        <f t="shared" si="3"/>
        <v>340725</v>
      </c>
    </row>
    <row r="33" spans="1:7" s="18" customFormat="1" ht="44.25" customHeight="1">
      <c r="A33" s="12">
        <v>17</v>
      </c>
      <c r="B33" s="13" t="s">
        <v>42</v>
      </c>
      <c r="C33" s="14" t="s">
        <v>39</v>
      </c>
      <c r="D33" s="134" t="s">
        <v>43</v>
      </c>
      <c r="E33" s="16">
        <v>307300</v>
      </c>
      <c r="F33" s="13">
        <f t="shared" si="2"/>
        <v>55314</v>
      </c>
      <c r="G33" s="17">
        <f t="shared" si="3"/>
        <v>362614</v>
      </c>
    </row>
    <row r="34" spans="1:9" s="18" customFormat="1" ht="27" customHeight="1" thickBot="1">
      <c r="A34" s="54">
        <v>18</v>
      </c>
      <c r="B34" s="55" t="s">
        <v>44</v>
      </c>
      <c r="C34" s="56" t="s">
        <v>39</v>
      </c>
      <c r="D34" s="135"/>
      <c r="E34" s="23">
        <v>315000</v>
      </c>
      <c r="F34" s="35">
        <f t="shared" si="2"/>
        <v>56700</v>
      </c>
      <c r="G34" s="25">
        <f t="shared" si="3"/>
        <v>371700</v>
      </c>
      <c r="I34" s="133"/>
    </row>
    <row r="35" spans="1:9" s="18" customFormat="1" ht="44.25" customHeight="1">
      <c r="A35" s="58">
        <v>19</v>
      </c>
      <c r="B35" s="24" t="s">
        <v>45</v>
      </c>
      <c r="C35" s="59" t="s">
        <v>39</v>
      </c>
      <c r="D35" s="113" t="s">
        <v>46</v>
      </c>
      <c r="E35" s="60">
        <v>330300</v>
      </c>
      <c r="F35" s="24">
        <f t="shared" si="2"/>
        <v>59454</v>
      </c>
      <c r="G35" s="61">
        <f t="shared" si="3"/>
        <v>389754</v>
      </c>
      <c r="I35" s="133"/>
    </row>
    <row r="36" spans="1:9" s="18" customFormat="1" ht="44.25" customHeight="1" thickBot="1">
      <c r="A36" s="19">
        <v>20</v>
      </c>
      <c r="B36" s="20" t="s">
        <v>47</v>
      </c>
      <c r="C36" s="21" t="s">
        <v>39</v>
      </c>
      <c r="D36" s="114"/>
      <c r="E36" s="62">
        <v>338100</v>
      </c>
      <c r="F36" s="24">
        <f t="shared" si="2"/>
        <v>60858</v>
      </c>
      <c r="G36" s="25">
        <f t="shared" si="3"/>
        <v>398958</v>
      </c>
      <c r="I36" s="133"/>
    </row>
    <row r="37" spans="1:7" s="18" customFormat="1" ht="54.75" customHeight="1">
      <c r="A37" s="12">
        <v>21</v>
      </c>
      <c r="B37" s="13" t="s">
        <v>48</v>
      </c>
      <c r="C37" s="14" t="s">
        <v>39</v>
      </c>
      <c r="D37" s="115" t="s">
        <v>49</v>
      </c>
      <c r="E37" s="16">
        <v>548750</v>
      </c>
      <c r="F37" s="13">
        <f t="shared" si="2"/>
        <v>98775</v>
      </c>
      <c r="G37" s="17">
        <f t="shared" si="3"/>
        <v>647525</v>
      </c>
    </row>
    <row r="38" spans="1:7" s="18" customFormat="1" ht="44.25" customHeight="1" thickBot="1">
      <c r="A38" s="19">
        <v>22</v>
      </c>
      <c r="B38" s="20" t="s">
        <v>50</v>
      </c>
      <c r="C38" s="21" t="s">
        <v>39</v>
      </c>
      <c r="D38" s="114"/>
      <c r="E38" s="23">
        <v>564400</v>
      </c>
      <c r="F38" s="24">
        <f t="shared" si="2"/>
        <v>101592</v>
      </c>
      <c r="G38" s="25">
        <f t="shared" si="3"/>
        <v>665992</v>
      </c>
    </row>
    <row r="39" spans="1:7" s="18" customFormat="1" ht="57" customHeight="1">
      <c r="A39" s="12">
        <v>23</v>
      </c>
      <c r="B39" s="13" t="s">
        <v>51</v>
      </c>
      <c r="C39" s="14" t="s">
        <v>39</v>
      </c>
      <c r="D39" s="115" t="s">
        <v>52</v>
      </c>
      <c r="E39" s="16">
        <v>636950</v>
      </c>
      <c r="F39" s="13">
        <f t="shared" si="2"/>
        <v>114651</v>
      </c>
      <c r="G39" s="17">
        <f t="shared" si="3"/>
        <v>751601</v>
      </c>
    </row>
    <row r="40" spans="1:8" s="18" customFormat="1" ht="33" customHeight="1" thickBot="1">
      <c r="A40" s="19">
        <v>24</v>
      </c>
      <c r="B40" s="20" t="s">
        <v>53</v>
      </c>
      <c r="C40" s="21" t="s">
        <v>39</v>
      </c>
      <c r="D40" s="114"/>
      <c r="E40" s="62">
        <v>652650</v>
      </c>
      <c r="F40" s="24">
        <f t="shared" si="2"/>
        <v>117477</v>
      </c>
      <c r="G40" s="25">
        <f t="shared" si="3"/>
        <v>770127</v>
      </c>
      <c r="H40" s="57"/>
    </row>
    <row r="41" spans="1:8" s="18" customFormat="1" ht="45" customHeight="1">
      <c r="A41" s="12">
        <v>25</v>
      </c>
      <c r="B41" s="13" t="s">
        <v>54</v>
      </c>
      <c r="C41" s="14" t="s">
        <v>39</v>
      </c>
      <c r="D41" s="115" t="s">
        <v>55</v>
      </c>
      <c r="E41" s="16">
        <v>696800</v>
      </c>
      <c r="F41" s="13">
        <f t="shared" si="2"/>
        <v>125424</v>
      </c>
      <c r="G41" s="17">
        <f t="shared" si="3"/>
        <v>822224</v>
      </c>
      <c r="H41" s="63"/>
    </row>
    <row r="42" spans="1:7" s="18" customFormat="1" ht="44.25" customHeight="1" thickBot="1">
      <c r="A42" s="19">
        <v>26</v>
      </c>
      <c r="B42" s="20" t="s">
        <v>56</v>
      </c>
      <c r="C42" s="21" t="s">
        <v>39</v>
      </c>
      <c r="D42" s="114"/>
      <c r="E42" s="23">
        <v>712400</v>
      </c>
      <c r="F42" s="35">
        <f t="shared" si="2"/>
        <v>128232</v>
      </c>
      <c r="G42" s="25">
        <f t="shared" si="3"/>
        <v>840632</v>
      </c>
    </row>
    <row r="43" spans="1:7" s="8" customFormat="1" ht="21.75" customHeight="1" thickBot="1">
      <c r="A43" s="143" t="s">
        <v>57</v>
      </c>
      <c r="B43" s="144"/>
      <c r="C43" s="144"/>
      <c r="D43" s="144"/>
      <c r="E43" s="144"/>
      <c r="F43" s="144"/>
      <c r="G43" s="145"/>
    </row>
    <row r="44" spans="1:7" s="18" customFormat="1" ht="65.25" customHeight="1" thickBot="1">
      <c r="A44" s="37">
        <v>27</v>
      </c>
      <c r="B44" s="38" t="s">
        <v>58</v>
      </c>
      <c r="C44" s="39" t="s">
        <v>57</v>
      </c>
      <c r="D44" s="64" t="s">
        <v>59</v>
      </c>
      <c r="E44" s="65">
        <v>832500</v>
      </c>
      <c r="F44" s="13">
        <f t="shared" si="2"/>
        <v>149850</v>
      </c>
      <c r="G44" s="42">
        <f>E44*1.18</f>
        <v>982350</v>
      </c>
    </row>
    <row r="45" spans="1:7" s="8" customFormat="1" ht="21.75" customHeight="1" thickBot="1">
      <c r="A45" s="146" t="s">
        <v>60</v>
      </c>
      <c r="B45" s="147"/>
      <c r="C45" s="147"/>
      <c r="D45" s="147"/>
      <c r="E45" s="147"/>
      <c r="F45" s="147"/>
      <c r="G45" s="148"/>
    </row>
    <row r="46" spans="1:7" s="66" customFormat="1" ht="39" customHeight="1" thickBot="1">
      <c r="A46" s="37">
        <v>28</v>
      </c>
      <c r="B46" s="38" t="s">
        <v>61</v>
      </c>
      <c r="C46" s="39" t="s">
        <v>62</v>
      </c>
      <c r="D46" s="40" t="s">
        <v>63</v>
      </c>
      <c r="E46" s="41">
        <v>259550</v>
      </c>
      <c r="F46" s="38">
        <f t="shared" si="2"/>
        <v>46719</v>
      </c>
      <c r="G46" s="42">
        <f>E46*1.18</f>
        <v>306269</v>
      </c>
    </row>
    <row r="47" spans="1:7" s="8" customFormat="1" ht="21.75" customHeight="1" thickBot="1">
      <c r="A47" s="144" t="s">
        <v>64</v>
      </c>
      <c r="B47" s="144"/>
      <c r="C47" s="144"/>
      <c r="D47" s="144"/>
      <c r="E47" s="144"/>
      <c r="F47" s="144"/>
      <c r="G47" s="144"/>
    </row>
    <row r="48" spans="1:7" s="18" customFormat="1" ht="93" customHeight="1">
      <c r="A48" s="67">
        <v>29</v>
      </c>
      <c r="B48" s="68" t="s">
        <v>65</v>
      </c>
      <c r="C48" s="69" t="s">
        <v>66</v>
      </c>
      <c r="D48" s="69" t="s">
        <v>67</v>
      </c>
      <c r="E48" s="70">
        <f>658350*2+120400+11110+9790</f>
        <v>1458000</v>
      </c>
      <c r="F48" s="68">
        <f t="shared" si="2"/>
        <v>262440</v>
      </c>
      <c r="G48" s="71">
        <f>E48*1.18</f>
        <v>1720440</v>
      </c>
    </row>
    <row r="49" spans="1:7" s="18" customFormat="1" ht="127.5" customHeight="1" thickBot="1">
      <c r="A49" s="33">
        <v>30</v>
      </c>
      <c r="B49" s="72" t="s">
        <v>68</v>
      </c>
      <c r="C49" s="73" t="s">
        <v>66</v>
      </c>
      <c r="D49" s="73" t="s">
        <v>69</v>
      </c>
      <c r="E49" s="74">
        <f>666350*2+120400+11110+9790</f>
        <v>1474000</v>
      </c>
      <c r="F49" s="24">
        <f t="shared" si="2"/>
        <v>265320</v>
      </c>
      <c r="G49" s="75">
        <f>E49*1.18</f>
        <v>1739320</v>
      </c>
    </row>
    <row r="50" spans="1:7" s="18" customFormat="1" ht="65.25" customHeight="1">
      <c r="A50" s="67">
        <v>31</v>
      </c>
      <c r="B50" s="68" t="s">
        <v>70</v>
      </c>
      <c r="C50" s="76" t="s">
        <v>66</v>
      </c>
      <c r="D50" s="76" t="s">
        <v>71</v>
      </c>
      <c r="E50" s="77">
        <f>627000*2+120400</f>
        <v>1374400</v>
      </c>
      <c r="F50" s="68">
        <f t="shared" si="2"/>
        <v>247392</v>
      </c>
      <c r="G50" s="71">
        <f aca="true" t="shared" si="4" ref="G50:G81">E50*1.18</f>
        <v>1621792</v>
      </c>
    </row>
    <row r="51" spans="1:7" s="18" customFormat="1" ht="72" customHeight="1" thickBot="1">
      <c r="A51" s="78">
        <v>32</v>
      </c>
      <c r="B51" s="79" t="s">
        <v>72</v>
      </c>
      <c r="C51" s="22" t="s">
        <v>66</v>
      </c>
      <c r="D51" s="22" t="s">
        <v>73</v>
      </c>
      <c r="E51" s="80">
        <f>635000*2+120400</f>
        <v>1390400</v>
      </c>
      <c r="F51" s="24">
        <f t="shared" si="2"/>
        <v>250272</v>
      </c>
      <c r="G51" s="75">
        <f t="shared" si="4"/>
        <v>1640672</v>
      </c>
    </row>
    <row r="52" spans="1:7" s="18" customFormat="1" ht="51" customHeight="1">
      <c r="A52" s="67">
        <v>33</v>
      </c>
      <c r="B52" s="68" t="s">
        <v>74</v>
      </c>
      <c r="C52" s="76" t="s">
        <v>66</v>
      </c>
      <c r="D52" s="76" t="s">
        <v>75</v>
      </c>
      <c r="E52" s="77">
        <f>663575*2+120400</f>
        <v>1447550</v>
      </c>
      <c r="F52" s="68">
        <f t="shared" si="2"/>
        <v>260559</v>
      </c>
      <c r="G52" s="71">
        <f t="shared" si="4"/>
        <v>1708109</v>
      </c>
    </row>
    <row r="53" spans="1:7" s="18" customFormat="1" ht="77.25" customHeight="1" thickBot="1">
      <c r="A53" s="78">
        <v>34</v>
      </c>
      <c r="B53" s="79" t="s">
        <v>76</v>
      </c>
      <c r="C53" s="22" t="s">
        <v>66</v>
      </c>
      <c r="D53" s="22" t="s">
        <v>77</v>
      </c>
      <c r="E53" s="80">
        <f>671575*2+120400</f>
        <v>1463550</v>
      </c>
      <c r="F53" s="24">
        <f t="shared" si="2"/>
        <v>263439</v>
      </c>
      <c r="G53" s="75">
        <f t="shared" si="4"/>
        <v>1726989</v>
      </c>
    </row>
    <row r="54" spans="1:7" s="18" customFormat="1" ht="75.75" customHeight="1">
      <c r="A54" s="12">
        <v>35</v>
      </c>
      <c r="B54" s="13" t="s">
        <v>78</v>
      </c>
      <c r="C54" s="81" t="s">
        <v>79</v>
      </c>
      <c r="D54" s="82" t="s">
        <v>80</v>
      </c>
      <c r="E54" s="83">
        <f>616550*2+120400+11110+9790</f>
        <v>1374400</v>
      </c>
      <c r="F54" s="13">
        <f t="shared" si="2"/>
        <v>247392</v>
      </c>
      <c r="G54" s="17">
        <f t="shared" si="4"/>
        <v>1621792</v>
      </c>
    </row>
    <row r="55" spans="1:7" s="18" customFormat="1" ht="105" customHeight="1" thickBot="1">
      <c r="A55" s="19">
        <v>36</v>
      </c>
      <c r="B55" s="20" t="s">
        <v>81</v>
      </c>
      <c r="C55" s="44" t="s">
        <v>79</v>
      </c>
      <c r="D55" s="84" t="s">
        <v>82</v>
      </c>
      <c r="E55" s="60">
        <f>624550*2+120400+11110+9790</f>
        <v>1390400</v>
      </c>
      <c r="F55" s="24">
        <f t="shared" si="2"/>
        <v>250272</v>
      </c>
      <c r="G55" s="25">
        <f t="shared" si="4"/>
        <v>1640672</v>
      </c>
    </row>
    <row r="56" spans="1:7" s="18" customFormat="1" ht="85.5" customHeight="1">
      <c r="A56" s="28">
        <v>37</v>
      </c>
      <c r="B56" s="68" t="s">
        <v>83</v>
      </c>
      <c r="C56" s="76" t="s">
        <v>66</v>
      </c>
      <c r="D56" s="76" t="s">
        <v>84</v>
      </c>
      <c r="E56" s="77">
        <f>627000*2+120400+11110+9790</f>
        <v>1395300</v>
      </c>
      <c r="F56" s="68">
        <f t="shared" si="2"/>
        <v>251154</v>
      </c>
      <c r="G56" s="71">
        <f t="shared" si="4"/>
        <v>1646454</v>
      </c>
    </row>
    <row r="57" spans="1:7" s="18" customFormat="1" ht="103.5" customHeight="1" thickBot="1">
      <c r="A57" s="85">
        <v>38</v>
      </c>
      <c r="B57" s="79" t="s">
        <v>85</v>
      </c>
      <c r="C57" s="22" t="s">
        <v>66</v>
      </c>
      <c r="D57" s="22" t="s">
        <v>86</v>
      </c>
      <c r="E57" s="80">
        <f>635000*2+120400+11110+9790</f>
        <v>1411300</v>
      </c>
      <c r="F57" s="24">
        <f t="shared" si="2"/>
        <v>254034</v>
      </c>
      <c r="G57" s="75">
        <f t="shared" si="4"/>
        <v>1665334</v>
      </c>
    </row>
    <row r="58" spans="1:7" s="18" customFormat="1" ht="93" customHeight="1">
      <c r="A58" s="86">
        <v>39</v>
      </c>
      <c r="B58" s="68" t="s">
        <v>87</v>
      </c>
      <c r="C58" s="76" t="s">
        <v>66</v>
      </c>
      <c r="D58" s="76" t="s">
        <v>88</v>
      </c>
      <c r="E58" s="77">
        <f>663600*2+120400+11110+9790</f>
        <v>1468500</v>
      </c>
      <c r="F58" s="68">
        <f t="shared" si="2"/>
        <v>264330</v>
      </c>
      <c r="G58" s="71">
        <f t="shared" si="4"/>
        <v>1732830</v>
      </c>
    </row>
    <row r="59" spans="1:7" s="18" customFormat="1" ht="105" customHeight="1" thickBot="1">
      <c r="A59" s="33">
        <v>40</v>
      </c>
      <c r="B59" s="79" t="s">
        <v>89</v>
      </c>
      <c r="C59" s="22" t="s">
        <v>66</v>
      </c>
      <c r="D59" s="22" t="s">
        <v>90</v>
      </c>
      <c r="E59" s="80">
        <f>671600*2+120400+11110+9790</f>
        <v>1484500</v>
      </c>
      <c r="F59" s="24">
        <f t="shared" si="2"/>
        <v>267210</v>
      </c>
      <c r="G59" s="75">
        <f t="shared" si="4"/>
        <v>1751710</v>
      </c>
    </row>
    <row r="60" spans="1:7" s="18" customFormat="1" ht="57" customHeight="1">
      <c r="A60" s="67">
        <v>41</v>
      </c>
      <c r="B60" s="68" t="s">
        <v>91</v>
      </c>
      <c r="C60" s="76" t="s">
        <v>92</v>
      </c>
      <c r="D60" s="76" t="s">
        <v>93</v>
      </c>
      <c r="E60" s="77">
        <f>616550*3+214400</f>
        <v>2064050</v>
      </c>
      <c r="F60" s="68">
        <f t="shared" si="2"/>
        <v>371529</v>
      </c>
      <c r="G60" s="71">
        <f t="shared" si="4"/>
        <v>2435579</v>
      </c>
    </row>
    <row r="61" spans="1:7" s="18" customFormat="1" ht="72.75" customHeight="1" thickBot="1">
      <c r="A61" s="78">
        <v>42</v>
      </c>
      <c r="B61" s="79" t="s">
        <v>94</v>
      </c>
      <c r="C61" s="22" t="s">
        <v>92</v>
      </c>
      <c r="D61" s="22" t="s">
        <v>95</v>
      </c>
      <c r="E61" s="87">
        <f>624550*3+214400</f>
        <v>2088050</v>
      </c>
      <c r="F61" s="24">
        <f t="shared" si="2"/>
        <v>375849</v>
      </c>
      <c r="G61" s="75">
        <f t="shared" si="4"/>
        <v>2463899</v>
      </c>
    </row>
    <row r="62" spans="1:45" s="18" customFormat="1" ht="57.75" customHeight="1">
      <c r="A62" s="67">
        <v>43</v>
      </c>
      <c r="B62" s="68" t="s">
        <v>96</v>
      </c>
      <c r="C62" s="76" t="s">
        <v>92</v>
      </c>
      <c r="D62" s="76" t="s">
        <v>97</v>
      </c>
      <c r="E62" s="77">
        <f>658350*3+214400</f>
        <v>2189450</v>
      </c>
      <c r="F62" s="88">
        <f t="shared" si="2"/>
        <v>394101</v>
      </c>
      <c r="G62" s="71">
        <f t="shared" si="4"/>
        <v>2583551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7" s="18" customFormat="1" ht="72.75" customHeight="1" thickBot="1">
      <c r="A63" s="78">
        <v>44</v>
      </c>
      <c r="B63" s="79" t="s">
        <v>98</v>
      </c>
      <c r="C63" s="22" t="s">
        <v>92</v>
      </c>
      <c r="D63" s="22" t="s">
        <v>99</v>
      </c>
      <c r="E63" s="87">
        <f>666350*3+214400</f>
        <v>2213450</v>
      </c>
      <c r="F63" s="24">
        <f t="shared" si="2"/>
        <v>398421</v>
      </c>
      <c r="G63" s="75">
        <f t="shared" si="4"/>
        <v>2611871</v>
      </c>
    </row>
    <row r="64" spans="1:7" s="18" customFormat="1" ht="55.5" customHeight="1">
      <c r="A64" s="67">
        <v>45</v>
      </c>
      <c r="B64" s="68" t="s">
        <v>100</v>
      </c>
      <c r="C64" s="76" t="s">
        <v>92</v>
      </c>
      <c r="D64" s="76" t="s">
        <v>101</v>
      </c>
      <c r="E64" s="77">
        <f>627000*3+214400</f>
        <v>2095400</v>
      </c>
      <c r="F64" s="68">
        <f t="shared" si="2"/>
        <v>377172</v>
      </c>
      <c r="G64" s="71">
        <f t="shared" si="4"/>
        <v>2472572</v>
      </c>
    </row>
    <row r="65" spans="1:7" s="18" customFormat="1" ht="72.75" customHeight="1" thickBot="1">
      <c r="A65" s="78">
        <v>46</v>
      </c>
      <c r="B65" s="79" t="s">
        <v>102</v>
      </c>
      <c r="C65" s="22" t="s">
        <v>92</v>
      </c>
      <c r="D65" s="22" t="s">
        <v>103</v>
      </c>
      <c r="E65" s="87">
        <f>635000*3+214400</f>
        <v>2119400</v>
      </c>
      <c r="F65" s="24">
        <f t="shared" si="2"/>
        <v>381492</v>
      </c>
      <c r="G65" s="75">
        <f t="shared" si="4"/>
        <v>2500892</v>
      </c>
    </row>
    <row r="66" spans="1:7" s="18" customFormat="1" ht="56.25" customHeight="1">
      <c r="A66" s="67">
        <v>47</v>
      </c>
      <c r="B66" s="68" t="s">
        <v>104</v>
      </c>
      <c r="C66" s="76" t="s">
        <v>92</v>
      </c>
      <c r="D66" s="76" t="s">
        <v>105</v>
      </c>
      <c r="E66" s="70">
        <f>663600*3+214400</f>
        <v>2205200</v>
      </c>
      <c r="F66" s="68">
        <f t="shared" si="2"/>
        <v>396936</v>
      </c>
      <c r="G66" s="71">
        <f t="shared" si="4"/>
        <v>2602136</v>
      </c>
    </row>
    <row r="67" spans="1:7" s="18" customFormat="1" ht="72.75" customHeight="1" thickBot="1">
      <c r="A67" s="78">
        <v>48</v>
      </c>
      <c r="B67" s="79" t="s">
        <v>106</v>
      </c>
      <c r="C67" s="22" t="s">
        <v>92</v>
      </c>
      <c r="D67" s="22" t="s">
        <v>107</v>
      </c>
      <c r="E67" s="89">
        <f>671600*3+214400</f>
        <v>2229200</v>
      </c>
      <c r="F67" s="24">
        <f t="shared" si="2"/>
        <v>401256</v>
      </c>
      <c r="G67" s="75">
        <f t="shared" si="4"/>
        <v>2630456</v>
      </c>
    </row>
    <row r="68" spans="1:7" s="18" customFormat="1" ht="38.25">
      <c r="A68" s="90">
        <v>49</v>
      </c>
      <c r="B68" s="29" t="s">
        <v>108</v>
      </c>
      <c r="C68" s="76" t="s">
        <v>92</v>
      </c>
      <c r="D68" s="91" t="s">
        <v>109</v>
      </c>
      <c r="E68" s="92">
        <f>(627000*3)+214400</f>
        <v>2095400</v>
      </c>
      <c r="F68" s="13">
        <f t="shared" si="2"/>
        <v>377172</v>
      </c>
      <c r="G68" s="71">
        <f t="shared" si="4"/>
        <v>2472572</v>
      </c>
    </row>
    <row r="69" spans="1:7" s="18" customFormat="1" ht="64.5" thickBot="1">
      <c r="A69" s="93">
        <v>50</v>
      </c>
      <c r="B69" s="94" t="s">
        <v>110</v>
      </c>
      <c r="C69" s="95" t="s">
        <v>92</v>
      </c>
      <c r="D69" s="96" t="s">
        <v>111</v>
      </c>
      <c r="E69" s="97">
        <f>(635000*3)+214400</f>
        <v>2119400</v>
      </c>
      <c r="F69" s="24">
        <f t="shared" si="2"/>
        <v>381492</v>
      </c>
      <c r="G69" s="75">
        <f t="shared" si="4"/>
        <v>2500892</v>
      </c>
    </row>
    <row r="70" spans="1:7" s="18" customFormat="1" ht="46.5" customHeight="1">
      <c r="A70" s="98">
        <v>51</v>
      </c>
      <c r="B70" s="99" t="s">
        <v>112</v>
      </c>
      <c r="C70" s="100" t="s">
        <v>92</v>
      </c>
      <c r="D70" s="101" t="s">
        <v>113</v>
      </c>
      <c r="E70" s="102">
        <f>(663600*3)+214400</f>
        <v>2205200</v>
      </c>
      <c r="F70" s="13">
        <f t="shared" si="2"/>
        <v>396936</v>
      </c>
      <c r="G70" s="103">
        <f t="shared" si="4"/>
        <v>2602136</v>
      </c>
    </row>
    <row r="71" spans="1:7" s="18" customFormat="1" ht="62.25" customHeight="1" thickBot="1">
      <c r="A71" s="93">
        <v>52</v>
      </c>
      <c r="B71" s="94" t="s">
        <v>114</v>
      </c>
      <c r="C71" s="95" t="s">
        <v>92</v>
      </c>
      <c r="D71" s="96" t="s">
        <v>115</v>
      </c>
      <c r="E71" s="104">
        <f>(671600*3)+214400</f>
        <v>2229200</v>
      </c>
      <c r="F71" s="24">
        <f t="shared" si="2"/>
        <v>401256</v>
      </c>
      <c r="G71" s="75">
        <f t="shared" si="4"/>
        <v>2630456</v>
      </c>
    </row>
    <row r="72" spans="1:7" s="18" customFormat="1" ht="75.75" customHeight="1">
      <c r="A72" s="67">
        <v>53</v>
      </c>
      <c r="B72" s="68" t="s">
        <v>116</v>
      </c>
      <c r="C72" s="76" t="s">
        <v>117</v>
      </c>
      <c r="D72" s="76" t="s">
        <v>118</v>
      </c>
      <c r="E72" s="77">
        <f>616550*3+214400+23930*3-40</f>
        <v>2135800</v>
      </c>
      <c r="F72" s="68">
        <f t="shared" si="2"/>
        <v>384444</v>
      </c>
      <c r="G72" s="71">
        <f t="shared" si="4"/>
        <v>2520244</v>
      </c>
    </row>
    <row r="73" spans="1:7" s="18" customFormat="1" ht="93.75" customHeight="1" thickBot="1">
      <c r="A73" s="105">
        <v>54</v>
      </c>
      <c r="B73" s="106" t="s">
        <v>119</v>
      </c>
      <c r="C73" s="50" t="s">
        <v>117</v>
      </c>
      <c r="D73" s="50" t="s">
        <v>120</v>
      </c>
      <c r="E73" s="87">
        <f>624550*3+214400+23920*3-10</f>
        <v>2159800</v>
      </c>
      <c r="F73" s="24">
        <f t="shared" si="2"/>
        <v>388764</v>
      </c>
      <c r="G73" s="107">
        <f t="shared" si="4"/>
        <v>2548564</v>
      </c>
    </row>
    <row r="74" spans="1:7" s="108" customFormat="1" ht="51" customHeight="1">
      <c r="A74" s="12">
        <v>55</v>
      </c>
      <c r="B74" s="68" t="s">
        <v>121</v>
      </c>
      <c r="C74" s="76" t="s">
        <v>122</v>
      </c>
      <c r="D74" s="76" t="s">
        <v>123</v>
      </c>
      <c r="E74" s="77">
        <f>(330300*2)+120400</f>
        <v>781000</v>
      </c>
      <c r="F74" s="68">
        <f t="shared" si="2"/>
        <v>140580</v>
      </c>
      <c r="G74" s="71">
        <f t="shared" si="4"/>
        <v>921580</v>
      </c>
    </row>
    <row r="75" spans="1:7" s="18" customFormat="1" ht="75.75" customHeight="1" thickBot="1">
      <c r="A75" s="78">
        <v>56</v>
      </c>
      <c r="B75" s="79" t="s">
        <v>124</v>
      </c>
      <c r="C75" s="22" t="s">
        <v>122</v>
      </c>
      <c r="D75" s="22" t="s">
        <v>125</v>
      </c>
      <c r="E75" s="87">
        <f>(338100*2)+120400</f>
        <v>796600</v>
      </c>
      <c r="F75" s="24">
        <f t="shared" si="2"/>
        <v>143388</v>
      </c>
      <c r="G75" s="75">
        <f t="shared" si="4"/>
        <v>939988</v>
      </c>
    </row>
    <row r="76" spans="1:7" s="18" customFormat="1" ht="60" customHeight="1">
      <c r="A76" s="67">
        <v>57</v>
      </c>
      <c r="B76" s="68" t="s">
        <v>126</v>
      </c>
      <c r="C76" s="76" t="s">
        <v>127</v>
      </c>
      <c r="D76" s="76" t="s">
        <v>128</v>
      </c>
      <c r="E76" s="77">
        <f>(330300*3)+214400</f>
        <v>1205300</v>
      </c>
      <c r="F76" s="68">
        <f t="shared" si="2"/>
        <v>216954</v>
      </c>
      <c r="G76" s="71">
        <f t="shared" si="4"/>
        <v>1422254</v>
      </c>
    </row>
    <row r="77" spans="1:7" s="18" customFormat="1" ht="78" customHeight="1" thickBot="1">
      <c r="A77" s="78">
        <v>58</v>
      </c>
      <c r="B77" s="79" t="s">
        <v>129</v>
      </c>
      <c r="C77" s="22" t="s">
        <v>127</v>
      </c>
      <c r="D77" s="22" t="s">
        <v>130</v>
      </c>
      <c r="E77" s="80">
        <f>338100*3+214400</f>
        <v>1228700</v>
      </c>
      <c r="F77" s="24">
        <f t="shared" si="2"/>
        <v>221166</v>
      </c>
      <c r="G77" s="75">
        <f t="shared" si="4"/>
        <v>1449866</v>
      </c>
    </row>
    <row r="78" spans="1:7" s="18" customFormat="1" ht="65.25" customHeight="1">
      <c r="A78" s="67">
        <v>59</v>
      </c>
      <c r="B78" s="68" t="s">
        <v>131</v>
      </c>
      <c r="C78" s="76" t="s">
        <v>132</v>
      </c>
      <c r="D78" s="15" t="s">
        <v>133</v>
      </c>
      <c r="E78" s="70">
        <f>(330300*3)+(27*2650)+214400</f>
        <v>1276850</v>
      </c>
      <c r="F78" s="68">
        <f t="shared" si="2"/>
        <v>229833</v>
      </c>
      <c r="G78" s="71">
        <f t="shared" si="4"/>
        <v>1506683</v>
      </c>
    </row>
    <row r="79" spans="1:7" s="18" customFormat="1" ht="91.5" customHeight="1" thickBot="1">
      <c r="A79" s="78">
        <v>60</v>
      </c>
      <c r="B79" s="79" t="s">
        <v>134</v>
      </c>
      <c r="C79" s="22" t="s">
        <v>132</v>
      </c>
      <c r="D79" s="109" t="s">
        <v>135</v>
      </c>
      <c r="E79" s="74">
        <f>(338100*3)+(27*2650)+214400</f>
        <v>1300250</v>
      </c>
      <c r="F79" s="24">
        <f t="shared" si="2"/>
        <v>234045</v>
      </c>
      <c r="G79" s="75">
        <f t="shared" si="4"/>
        <v>1534295</v>
      </c>
    </row>
    <row r="80" spans="1:7" s="18" customFormat="1" ht="63" customHeight="1">
      <c r="A80" s="67">
        <v>61</v>
      </c>
      <c r="B80" s="68" t="s">
        <v>136</v>
      </c>
      <c r="C80" s="76" t="s">
        <v>132</v>
      </c>
      <c r="D80" s="76" t="s">
        <v>137</v>
      </c>
      <c r="E80" s="77">
        <f>696800+(18*2650)</f>
        <v>744500</v>
      </c>
      <c r="F80" s="68">
        <f t="shared" si="2"/>
        <v>134010</v>
      </c>
      <c r="G80" s="71">
        <f t="shared" si="4"/>
        <v>878510</v>
      </c>
    </row>
    <row r="81" spans="1:7" s="18" customFormat="1" ht="76.5" customHeight="1" thickBot="1">
      <c r="A81" s="78">
        <v>62</v>
      </c>
      <c r="B81" s="79" t="s">
        <v>138</v>
      </c>
      <c r="C81" s="22" t="s">
        <v>132</v>
      </c>
      <c r="D81" s="22" t="s">
        <v>139</v>
      </c>
      <c r="E81" s="74">
        <f>712400+(18*2650)</f>
        <v>760100</v>
      </c>
      <c r="F81" s="36">
        <f t="shared" si="2"/>
        <v>136818</v>
      </c>
      <c r="G81" s="110">
        <f t="shared" si="4"/>
        <v>896918</v>
      </c>
    </row>
    <row r="82" spans="1:7" ht="40.5" customHeight="1">
      <c r="A82" s="142"/>
      <c r="B82" s="142"/>
      <c r="C82" s="142"/>
      <c r="D82" s="142"/>
      <c r="E82" s="142"/>
      <c r="F82" s="142"/>
      <c r="G82" s="1"/>
    </row>
    <row r="83" spans="1:7" ht="40.5" customHeight="1">
      <c r="A83" s="111"/>
      <c r="B83" s="111"/>
      <c r="C83" s="111"/>
      <c r="D83" s="111"/>
      <c r="E83" s="111"/>
      <c r="F83" s="111"/>
      <c r="G83" s="1"/>
    </row>
  </sheetData>
  <sheetProtection/>
  <mergeCells count="35">
    <mergeCell ref="D31:D32"/>
    <mergeCell ref="D33:D34"/>
    <mergeCell ref="A45:G45"/>
    <mergeCell ref="A47:G47"/>
    <mergeCell ref="A82:F82"/>
    <mergeCell ref="D37:D38"/>
    <mergeCell ref="D39:D40"/>
    <mergeCell ref="D41:D42"/>
    <mergeCell ref="A43:G43"/>
    <mergeCell ref="I34:I36"/>
    <mergeCell ref="D35:D36"/>
    <mergeCell ref="D14:D15"/>
    <mergeCell ref="D16:D17"/>
    <mergeCell ref="D18:D19"/>
    <mergeCell ref="D20:D21"/>
    <mergeCell ref="D22:D23"/>
    <mergeCell ref="D24:D25"/>
    <mergeCell ref="A26:G26"/>
    <mergeCell ref="A30:G30"/>
    <mergeCell ref="A12:G12"/>
    <mergeCell ref="A10:A11"/>
    <mergeCell ref="B10:B11"/>
    <mergeCell ref="C10:C11"/>
    <mergeCell ref="D10:D11"/>
    <mergeCell ref="A8:G8"/>
    <mergeCell ref="D9:J9"/>
    <mergeCell ref="E10:E11"/>
    <mergeCell ref="F10:F11"/>
    <mergeCell ref="G10:G11"/>
    <mergeCell ref="A5:G5"/>
    <mergeCell ref="A7:G7"/>
    <mergeCell ref="A1:G1"/>
    <mergeCell ref="A2:G2"/>
    <mergeCell ref="A3:G3"/>
    <mergeCell ref="A4:G4"/>
  </mergeCells>
  <hyperlinks>
    <hyperlink ref="A4" r:id="rId1" display="www.selmas.ru"/>
  </hyperlinks>
  <printOptions/>
  <pageMargins left="0" right="0" top="0" bottom="0" header="0.5118110236220472" footer="0.5118110236220472"/>
  <pageSetup horizontalDpi="600" verticalDpi="600" orientation="portrait" paperSize="9" scale="6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2013-01-31T11:16:25Z</cp:lastPrinted>
  <dcterms:created xsi:type="dcterms:W3CDTF">1996-10-08T23:32:33Z</dcterms:created>
  <dcterms:modified xsi:type="dcterms:W3CDTF">2013-02-28T11:20:15Z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